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915" windowHeight="7740" activeTab="0"/>
  </bookViews>
  <sheets>
    <sheet name="201801_CORTES_SECTORES_1_Anta (" sheetId="1" r:id="rId1"/>
  </sheets>
  <definedNames/>
  <calcPr fullCalcOnLoad="1"/>
</workbook>
</file>

<file path=xl/sharedStrings.xml><?xml version="1.0" encoding="utf-8"?>
<sst xmlns="http://schemas.openxmlformats.org/spreadsheetml/2006/main" count="7172" uniqueCount="1772">
  <si>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</si>
  <si>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</si>
  <si>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</si>
  <si>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</si>
  <si>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</si>
  <si>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</si>
  <si>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</si>
  <si>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</si>
  <si>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</si>
  <si>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</si>
  <si>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</si>
  <si>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</si>
  <si>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</si>
  <si>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</si>
  <si>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</si>
  <si>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</si>
  <si>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</si>
  <si>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</si>
  <si>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POROY</t>
  </si>
  <si>
    <t>CA030028</t>
  </si>
  <si>
    <t>REYES-GALIANO--JUANA-YSIDORA</t>
  </si>
  <si>
    <t>AV--ROLANDI-S-N---POROY</t>
  </si>
  <si>
    <t>BT5B</t>
  </si>
  <si>
    <t>Aerea</t>
  </si>
  <si>
    <t>CRBTA11</t>
  </si>
  <si>
    <t>POLICIA-NACIONAL-POROY</t>
  </si>
  <si>
    <t>POROY---S-N</t>
  </si>
  <si>
    <t>CA030427</t>
  </si>
  <si>
    <t>FERNANDEZ-PANTOJA-DE-DIAZ--ELS</t>
  </si>
  <si>
    <t>ROLANDY-S-N</t>
  </si>
  <si>
    <t>CA030224</t>
  </si>
  <si>
    <t>MAMANI-CCOTO--EMILIO</t>
  </si>
  <si>
    <t>AV-ROLANDI---S-N</t>
  </si>
  <si>
    <t>CONDORI-AMACHI--DORIS</t>
  </si>
  <si>
    <t>STA--BARBARA-POROY-5</t>
  </si>
  <si>
    <t>CUSIHUAMAN-TOCA--JUANA-CRISOST</t>
  </si>
  <si>
    <t>CALLE-TORDO-S-N-POROY-</t>
  </si>
  <si>
    <t>CONDORI-TOCCAS--NESTOR</t>
  </si>
  <si>
    <t>SECTOR-URUBANVILLAYOY-S-N-PORO</t>
  </si>
  <si>
    <t>TOCCAS-CCOTO--HERMELINDA-</t>
  </si>
  <si>
    <t>SECTOR-TABLOPAMPA-POROY</t>
  </si>
  <si>
    <t>CA030596</t>
  </si>
  <si>
    <t>ARANYA-QUISPE-PLACIDO</t>
  </si>
  <si>
    <t>C-C--TTICAHUERTA-POROY</t>
  </si>
  <si>
    <t>CABALLERO-YLLA--LUZ-MARUJA</t>
  </si>
  <si>
    <t>QUISPE-QUISPE-TIBURCIO</t>
  </si>
  <si>
    <t>PILLCO-HUALLPAYUNCA--ALBERTINA</t>
  </si>
  <si>
    <t>CC--TTICAHUERTA---POROY</t>
  </si>
  <si>
    <t>CA030144</t>
  </si>
  <si>
    <t>YUPANQUI-QUISPE--ISAAC</t>
  </si>
  <si>
    <t>C-C--HUAMPAR</t>
  </si>
  <si>
    <t>CRBTA31</t>
  </si>
  <si>
    <t>LEVITA-HUAMANI--MARCE-MARLENY</t>
  </si>
  <si>
    <t>C-C-HUAMPAR-POROY</t>
  </si>
  <si>
    <t>LEVITA-GUILLEN--TIBURCIO</t>
  </si>
  <si>
    <t>BARRIOS-SARMIENTO--ANDRES-ARTU</t>
  </si>
  <si>
    <t>C-C-HUAMPAR</t>
  </si>
  <si>
    <t>RODRIGUEZ-HANCCO--AURELIO</t>
  </si>
  <si>
    <t>C-C-HUAMPAR-PARCELA-U-C--N--38</t>
  </si>
  <si>
    <t>AMACHI-CUSIHUAMAN--YANID-CATAL</t>
  </si>
  <si>
    <t>APAZA-RUIZ--OLGA-CIRILA</t>
  </si>
  <si>
    <t>CA030099</t>
  </si>
  <si>
    <t>TORRES-HUAMAN-EMILIO</t>
  </si>
  <si>
    <t>CHINCHAYSUYO-POROY</t>
  </si>
  <si>
    <t>INST-EDUCATIVA-SANTA-BARBARA-N</t>
  </si>
  <si>
    <t>C-C--CHINCHAYSUYO--POROY</t>
  </si>
  <si>
    <t>GUEVARA-QUISPE--CESAR-EMILIO</t>
  </si>
  <si>
    <t>C-C--CHINCHAYSUYO-S-N---POROY</t>
  </si>
  <si>
    <t>AUCCA-MENDOZA-WILBERT</t>
  </si>
  <si>
    <t>CARBAJAL-CASAVERDE--LUCIO-SATU</t>
  </si>
  <si>
    <t>GARCIA-GUEVARA--VILMA</t>
  </si>
  <si>
    <t>C-C-CHINCHAYSUYO-POROY</t>
  </si>
  <si>
    <t>DE-LA-CRUZ-ENRIQUEZ--RODRIGO</t>
  </si>
  <si>
    <t>C-C--CHINCHAYSUYO-SECTOR-SUCCA</t>
  </si>
  <si>
    <t>MIRANDA-CARDENAS--ESTELA</t>
  </si>
  <si>
    <t>CANDELA-RIVADENEYRA--WILLIAM-A</t>
  </si>
  <si>
    <t>C-C--HUAMPAR-BZ---2-POROY</t>
  </si>
  <si>
    <t>CA030375</t>
  </si>
  <si>
    <t>NAYHUA-QUISPE--JUAN-BAUTISTA</t>
  </si>
  <si>
    <t>C-C--DE-HUAMPAR-N-101-POROY</t>
  </si>
  <si>
    <t>YUPANQUI-QUISPE--ROSA</t>
  </si>
  <si>
    <t>C-C--HUAMPAR-POROY</t>
  </si>
  <si>
    <t>QUISPE-ATAYUPANQUI-WASHINGTON</t>
  </si>
  <si>
    <t>CRUZ-VERDE-POROY</t>
  </si>
  <si>
    <t>GONZALES-SUNI--WILBERT</t>
  </si>
  <si>
    <t>C-C-CHINCHAYSUYO--POROY</t>
  </si>
  <si>
    <t>TURPO-VALENCIA--RINA</t>
  </si>
  <si>
    <t>CHINCHAYSUYO-MZ-B-LT3-POROY</t>
  </si>
  <si>
    <t>PATILLA-CCOLQQUE--ALDO</t>
  </si>
  <si>
    <t>C-C--CHINCHAYSUYO-S--BOSQUE-PO</t>
  </si>
  <si>
    <t>OLAVE-LAURENTE--RENATO</t>
  </si>
  <si>
    <t>HUAMANI-LIRA--EDUARDO</t>
  </si>
  <si>
    <t>C-C--CHINCHAYSUYO-S--BOSQUE---</t>
  </si>
  <si>
    <t>BERMUDEZ-GUEVARA--JUAN-GONZALO</t>
  </si>
  <si>
    <t>C-C--CHINCHAYSUYO-SECTOR--BOSQ</t>
  </si>
  <si>
    <t>CARRE-O-PEREZ--ROSALIA</t>
  </si>
  <si>
    <t>HUILLCA-IBARRA--REMIGIO</t>
  </si>
  <si>
    <t>ORCCOHUARANCCA-JIMENEZ--ROSANA</t>
  </si>
  <si>
    <t>CC--HUAMPAR---POROY</t>
  </si>
  <si>
    <t>FERRO-HUAMAN--DANIEL</t>
  </si>
  <si>
    <t>PUCYURA</t>
  </si>
  <si>
    <t>CA030441</t>
  </si>
  <si>
    <t>LEON-CCA-IHUA--JOSE-BALTAZAR</t>
  </si>
  <si>
    <t>C-C--JUAN-VELASCO-ALVARADO-SEC</t>
  </si>
  <si>
    <t>CACHIMAYO</t>
  </si>
  <si>
    <t>CA030484</t>
  </si>
  <si>
    <t>GONZA-CHAUCCA--DANIEL</t>
  </si>
  <si>
    <t>APV-ING-LUIS-ROBLES-RECAVARREN</t>
  </si>
  <si>
    <t>A-P-V-ING-LUIS-ROBLES-RECAVARR</t>
  </si>
  <si>
    <t>A-P-V--ING-LUIS-ROBLES-RECAVAR</t>
  </si>
  <si>
    <t>JUAREZ-GUEVARA--TORIBIO</t>
  </si>
  <si>
    <t>ANTA</t>
  </si>
  <si>
    <t>CA020021</t>
  </si>
  <si>
    <t>PUMA-H-ANDRES</t>
  </si>
  <si>
    <t>REPUBLICA</t>
  </si>
  <si>
    <t>ALMIRON-CARBAJAL--TEOFILA</t>
  </si>
  <si>
    <t>SECTOR-PACHAQUILLAY---IZCUCHAC</t>
  </si>
  <si>
    <t>MUNICIPALIDAD-PROVINCIAL-DE-AN</t>
  </si>
  <si>
    <t>PLAZA-DE-ANTA</t>
  </si>
  <si>
    <t>HUAMAN-PAULINA-</t>
  </si>
  <si>
    <t>ANTA-CALLE-S-N</t>
  </si>
  <si>
    <t>CA010048</t>
  </si>
  <si>
    <t>LEIVA-P-JUSTO-</t>
  </si>
  <si>
    <t>HUANCARPATA---S-N</t>
  </si>
  <si>
    <t>HUALLPA-H-PASCUAL-</t>
  </si>
  <si>
    <t>TTITO-P-CIRILO-</t>
  </si>
  <si>
    <t>LEIVA-QUISPE-JUAN-D-</t>
  </si>
  <si>
    <t>CA020455</t>
  </si>
  <si>
    <t>GONZALES-HUALLPARIMACHI--OSCAR</t>
  </si>
  <si>
    <t>C-C--YUNGAQUI---SAN-ISIDRO-DE-</t>
  </si>
  <si>
    <t>PHUYO-GUERRA--MARIA</t>
  </si>
  <si>
    <t>C-C--YUNGAQUI-S-N-ANTA</t>
  </si>
  <si>
    <t>PUMAINCA-HUAMAN--LOURDES-BASIL</t>
  </si>
  <si>
    <t>CA020022</t>
  </si>
  <si>
    <t>ATAO-QUISPE--INOCENCIO</t>
  </si>
  <si>
    <t>C-C--PACCA--ANTA</t>
  </si>
  <si>
    <t>CA020023</t>
  </si>
  <si>
    <t>CUSI-HUANCA--ROGER</t>
  </si>
  <si>
    <t>C-C-DE-YUNGAQUI-SECTOR-YUNGAQU</t>
  </si>
  <si>
    <t>YUPANQUI-LLACCOLLA--AGUSTINA</t>
  </si>
  <si>
    <t>CC-YUNGAQUI---ANTA</t>
  </si>
  <si>
    <t>AYMA-PANTI-DE-HUAMAN--MARGARIT</t>
  </si>
  <si>
    <t>C-YUNGAQUI-GRANDE-ANTA</t>
  </si>
  <si>
    <t>GARCIA-HUAMAN-SIMON</t>
  </si>
  <si>
    <t>YUNGAQUI</t>
  </si>
  <si>
    <t>HUAMAN--QUINTIN-</t>
  </si>
  <si>
    <t>YUNGAQUI-S-N</t>
  </si>
  <si>
    <t>CA020204</t>
  </si>
  <si>
    <t>ESPEJO-URIOSTE-FERNANDO</t>
  </si>
  <si>
    <t>CA020024</t>
  </si>
  <si>
    <t>CALLA-LUCERO--ISAAC-RONY</t>
  </si>
  <si>
    <t>COMUNIDAD-CAMPESINA-DE-YUNGAQU</t>
  </si>
  <si>
    <t>CA020026</t>
  </si>
  <si>
    <t>VILLA-TENIENTE--MARIO</t>
  </si>
  <si>
    <t>INQUILPATA-S-N</t>
  </si>
  <si>
    <t>HUAMAN--VILLA--CIRILO</t>
  </si>
  <si>
    <t>CA010104</t>
  </si>
  <si>
    <t>PACHECO-YABAR--JUAN</t>
  </si>
  <si>
    <t>FUNDO-MARQUESBAMBA-KM-33</t>
  </si>
  <si>
    <t>PACHECO-G---CARLOS</t>
  </si>
  <si>
    <t>MARQUESBAMBA-S-N</t>
  </si>
  <si>
    <t>COMUNIDAD-CAMPESINA--CCALLA</t>
  </si>
  <si>
    <t>PACHECO-G---MIRIAN</t>
  </si>
  <si>
    <t>CA020498</t>
  </si>
  <si>
    <t>PAUCCAR-HUAILLAHUAMAN--DEMETRI</t>
  </si>
  <si>
    <t>A-P-V--SE-OR-DE-EXALTACION-LT-</t>
  </si>
  <si>
    <t>CA010584</t>
  </si>
  <si>
    <t>GUZMAN-P-GRACIELA</t>
  </si>
  <si>
    <t>CONCHACALLA-S-N</t>
  </si>
  <si>
    <t>OJEDA-HUANCCOLLUCHO--TORIBIA</t>
  </si>
  <si>
    <t>CONCHACALLE-S-N</t>
  </si>
  <si>
    <t>CONCHA--JOSE-</t>
  </si>
  <si>
    <t>GALIANO-HUAILLAS--MARIANO</t>
  </si>
  <si>
    <t>C-C-CONCHACALLA-ANTA</t>
  </si>
  <si>
    <t>POLICIA-NACIONAL-CONCHACALLA</t>
  </si>
  <si>
    <t>C-C-CONCHACALLA--ANTA</t>
  </si>
  <si>
    <t>CALLOTUPA--JUAN--DE-DIOS</t>
  </si>
  <si>
    <t>CCONOC--BACILIO-</t>
  </si>
  <si>
    <t>CA020044</t>
  </si>
  <si>
    <t>OCHOA-VILLA--HIPOLITA</t>
  </si>
  <si>
    <t>C-C-CCONCHACALLA-SECTOR-USNOPA</t>
  </si>
  <si>
    <t>DAMASINO-CH---JUAN</t>
  </si>
  <si>
    <t>TEJADA-CH---BERNARDINO</t>
  </si>
  <si>
    <t>HUALLPA-CHALLCO--WILLIAN</t>
  </si>
  <si>
    <t>C-C--CONCHACCALLA--ANTA</t>
  </si>
  <si>
    <t>PENA--RICARDO-</t>
  </si>
  <si>
    <t>SUELDO-GUTIERREZ---RICARDINA</t>
  </si>
  <si>
    <t>MISME-VASQUEZ--MANUEL-</t>
  </si>
  <si>
    <t>SALAS-QUISPE--NICOLAS</t>
  </si>
  <si>
    <t>VILLA-ROZAS--MARGARITA</t>
  </si>
  <si>
    <t>CONCHACALLA---S-N</t>
  </si>
  <si>
    <t>VILLA-DE--SALLO--MARGARITA</t>
  </si>
  <si>
    <t>CCONOY-H---PABLO</t>
  </si>
  <si>
    <t>CUSIHUAMAN-SUYLLO--MARCOS</t>
  </si>
  <si>
    <t>CUSIHUAMAN-A-BALVINO</t>
  </si>
  <si>
    <t>CONCHACALLA</t>
  </si>
  <si>
    <t>MORENO-ESCALANTE--HECTOR-KRIST</t>
  </si>
  <si>
    <t>C-C-CONCHACALLA-SECTOR-ROSASPA</t>
  </si>
  <si>
    <t>HUAMAN-T--JUSTO</t>
  </si>
  <si>
    <t>ANTESANA-O---SABINA</t>
  </si>
  <si>
    <t>PANDO-HUAMAN--MARCOSA</t>
  </si>
  <si>
    <t>KCANCHA-PANDO-LUCIA</t>
  </si>
  <si>
    <t>CC-CCONCHACCALLA</t>
  </si>
  <si>
    <t>CHECCALLA-HUILLCA--ALEJANDRINA</t>
  </si>
  <si>
    <t>C-C--CONCHACALLA-SECTOR--ROSAS</t>
  </si>
  <si>
    <t>TENIENTE-SALON--LEOCADIA</t>
  </si>
  <si>
    <t>CA020153</t>
  </si>
  <si>
    <t>COLEGIO-MUNICIPAL-NOCTURNO</t>
  </si>
  <si>
    <t>PROLONGACION-JAQUIJAHUANA</t>
  </si>
  <si>
    <t>ROCCA-MISME--TERESA-DE-JESUS</t>
  </si>
  <si>
    <t>CHACACURQUI</t>
  </si>
  <si>
    <t>SALLO-LLAMACPONCCA--MERCEDES</t>
  </si>
  <si>
    <t>URB--19-DE-NOVIEMBRE--IZCUCHAC</t>
  </si>
  <si>
    <t>FRANCO-ACCOSTUPA--FEDERICO</t>
  </si>
  <si>
    <t>SINZANO-ROCCA--RUTH-MERY</t>
  </si>
  <si>
    <t>C-C-CHACACURQUI-ANTA</t>
  </si>
  <si>
    <t>CA020154</t>
  </si>
  <si>
    <t>URBINA-PUMA--ROSENDO</t>
  </si>
  <si>
    <t>CHACACURQUI-S-N</t>
  </si>
  <si>
    <t>A-O-HUAMAN--MIGUEL-RAUL</t>
  </si>
  <si>
    <t>SECTOR-POTRERO-TAMBO-S-N---IZC</t>
  </si>
  <si>
    <t>MONTES-BEGAZO-BERNABE</t>
  </si>
  <si>
    <t>LUNA-DE-ROCCA--MARIA-JESUS</t>
  </si>
  <si>
    <t>CHACACURQUI---S-N</t>
  </si>
  <si>
    <t>MISME-ATAULLUCO--DAVID</t>
  </si>
  <si>
    <t>ASOCION-19-DE-NOVIEMBRE---IZCU</t>
  </si>
  <si>
    <t>QUISPE-ACHAHUI--CIRILO</t>
  </si>
  <si>
    <t>PROL--JAQUIJAHUANA-IZCUCHACA</t>
  </si>
  <si>
    <t>UCROS--HUAMAN--RINA</t>
  </si>
  <si>
    <t>NUEVA-IZCUCHACA--LT-18-MZ-H1</t>
  </si>
  <si>
    <t>U-APILLCO-QUINTANILLA--JUVENAL</t>
  </si>
  <si>
    <t>NUEVA-IZCUCHACA-LT-18-MZ-H1</t>
  </si>
  <si>
    <t>CA020496</t>
  </si>
  <si>
    <t>ATAULLUCO-HUAMAN--ERASMO</t>
  </si>
  <si>
    <t>A-P-V-LA-VICTORIA-LT-5-MZ-A-AN</t>
  </si>
  <si>
    <t>HUAMAN-FRANCO--DAMIAN</t>
  </si>
  <si>
    <t>A-P-V--LA-VICTORIA-ANTA</t>
  </si>
  <si>
    <t>CA010550</t>
  </si>
  <si>
    <t>CCAPCHA-A-O--WILFREDO</t>
  </si>
  <si>
    <t>OCCORURO-S-N</t>
  </si>
  <si>
    <t>FRANCO-JUSTINIANI--MARIO</t>
  </si>
  <si>
    <t>CA020470</t>
  </si>
  <si>
    <t>AYTE-PILLCO--SANTUSA</t>
  </si>
  <si>
    <t>C-C-HAPARQUILLA-SECTOR-SAN-JOS</t>
  </si>
  <si>
    <t>SINCHI-QUISPE--ROMULO</t>
  </si>
  <si>
    <t>CA020471</t>
  </si>
  <si>
    <t>ACCOSTUPA-A-O--WILBER</t>
  </si>
  <si>
    <t>C-C-HAPARQUILLA-SECTOR-CAMINO-</t>
  </si>
  <si>
    <t>HUAMAN-OCROS-GREGORIO</t>
  </si>
  <si>
    <t>CA010037</t>
  </si>
  <si>
    <t>CHILE-YUPANQUI--MODESTO</t>
  </si>
  <si>
    <t>C-C-HAPARQUILLA-SECTOR-ROSASPA</t>
  </si>
  <si>
    <t>PILLCO-PAQUILLO--FREDY</t>
  </si>
  <si>
    <t>C-C-HAPARQUILLA-SN--ANTA</t>
  </si>
  <si>
    <t>HUAMAN-PANTI--CIRILO</t>
  </si>
  <si>
    <t>APARQUILLA-S-N</t>
  </si>
  <si>
    <t>HUAMAN-APAZA--FELIX</t>
  </si>
  <si>
    <t>APAZA--RONALDO-</t>
  </si>
  <si>
    <t>PANTI--FELICIANA-</t>
  </si>
  <si>
    <t>MISME-YUPANQUI--TERESA</t>
  </si>
  <si>
    <t>CA010155</t>
  </si>
  <si>
    <t>QUISPE-MISME--OCTAVIO</t>
  </si>
  <si>
    <t>PAMPALLAMAC-HAPARQUILLA</t>
  </si>
  <si>
    <t>CA020011</t>
  </si>
  <si>
    <t>CCOLQUE-PAUCCAR--ORLANDO</t>
  </si>
  <si>
    <t>HAPARQUILLA-SAN-JOSE-ANTA</t>
  </si>
  <si>
    <t>DEL-CARPIO-CASTA-EDA--ANIBAL-U</t>
  </si>
  <si>
    <t>APARQUILLA---SANTA-MARIA</t>
  </si>
  <si>
    <t>CA020034</t>
  </si>
  <si>
    <t>COSTILLO-ROCCA-MARIO-NIEVES</t>
  </si>
  <si>
    <t>MOSOCLLACTA-ANTA</t>
  </si>
  <si>
    <t>USCAMAITA--CHUTAS--NICOLASA</t>
  </si>
  <si>
    <t>MOSOCCLLACTA-S-N</t>
  </si>
  <si>
    <t>ATAULLUCO-HUAMAN--TORIBIO</t>
  </si>
  <si>
    <t>C-C-MOSOCLLACTA-SN--ANTA</t>
  </si>
  <si>
    <t>HUANACO-HUAMAN--JUAN</t>
  </si>
  <si>
    <t>CA020036</t>
  </si>
  <si>
    <t>HUALLPA-USCAMAITA--YSIDRO</t>
  </si>
  <si>
    <t>CC-HUERTA-SECTOR-TULLUMAYO</t>
  </si>
  <si>
    <t>QUISPE-ROJAS-REMIGIO</t>
  </si>
  <si>
    <t>TULLUMAYO-HUERTA-ANTA</t>
  </si>
  <si>
    <t>ROJAS-LLAMACPONCCA--JUAN-DE-DI</t>
  </si>
  <si>
    <t>HUERTA</t>
  </si>
  <si>
    <t>CA020150</t>
  </si>
  <si>
    <t>GAMARRA-MONTA-EZ--PEPE-EDY</t>
  </si>
  <si>
    <t>QUINTA-CONCEPCION-PARCELA-4---</t>
  </si>
  <si>
    <t>JIMENEZ-NINAN--GERARDO</t>
  </si>
  <si>
    <t>C-C-KEHUAR-PREDIO-AMATAUNA-ANT</t>
  </si>
  <si>
    <t>QUEJIA-PUMA--FRANCISCO</t>
  </si>
  <si>
    <t>QUEHUAR</t>
  </si>
  <si>
    <t>CA020135</t>
  </si>
  <si>
    <t>AYTE-HILDA-</t>
  </si>
  <si>
    <t>PINANCAY----MOLLEPATA</t>
  </si>
  <si>
    <t>QUISPE--BENANCIO</t>
  </si>
  <si>
    <t>COMUNID-PINANCAY</t>
  </si>
  <si>
    <t>LLAMACPONCCA-U--BENTURO</t>
  </si>
  <si>
    <t>TENIENTE-CLAUDIO</t>
  </si>
  <si>
    <t>PINANCAY</t>
  </si>
  <si>
    <t>CHACON-CHAVEZ--ANASTACIO</t>
  </si>
  <si>
    <t>C-C--PI-ANCCAY-S-N-</t>
  </si>
  <si>
    <t>ATAULLUCO-SINCHI--MARILU</t>
  </si>
  <si>
    <t>C-C--PI-ANCAY----ANTA</t>
  </si>
  <si>
    <t>LOPEZ-MESARAYME--SANTOS</t>
  </si>
  <si>
    <t>C-C--PINANCCAY-ANTA</t>
  </si>
  <si>
    <t>CALDERON-MOLLEHUANCA-RONAL</t>
  </si>
  <si>
    <t>PI-ANCAY-ANTA</t>
  </si>
  <si>
    <t>RIVERO-ATAULLUCO--ANTONIO</t>
  </si>
  <si>
    <t>CA020421</t>
  </si>
  <si>
    <t>PUMA-SALGUERON--GUILLERMINA</t>
  </si>
  <si>
    <t>CC--AYARMACA---ACONHUAYLLA---P</t>
  </si>
  <si>
    <t>CA020005</t>
  </si>
  <si>
    <t>QUISPE-ACCOSTUPA--DAMIAN</t>
  </si>
  <si>
    <t>CHACAN</t>
  </si>
  <si>
    <t>CA020004</t>
  </si>
  <si>
    <t>PUMA-COLOMA--CASIANO</t>
  </si>
  <si>
    <t>CHACAN-STA-ANA-S-N</t>
  </si>
  <si>
    <t>ACCOSTUPA-H---PLACIDA</t>
  </si>
  <si>
    <t>HUAMAN--JOSEFINA</t>
  </si>
  <si>
    <t>LIVITA--LUCIO</t>
  </si>
  <si>
    <t>HUAMAN-S--LUIS</t>
  </si>
  <si>
    <t>CHACAN-STA-ANA---S-N</t>
  </si>
  <si>
    <t>HINOJOSA-FRANCO--GUZMAN</t>
  </si>
  <si>
    <t>CHACAN-SANTA-ANA--ANTA</t>
  </si>
  <si>
    <t>CA020003</t>
  </si>
  <si>
    <t>FRANCO-HUAMAN--JESUS</t>
  </si>
  <si>
    <t>CHACAN-SANTIAGO-S-N</t>
  </si>
  <si>
    <t>CCOLOMA-U-APILLCO--LEONCIO</t>
  </si>
  <si>
    <t>CHACAN-SANTIA---S-N</t>
  </si>
  <si>
    <t>CA020002</t>
  </si>
  <si>
    <t>HUAMAN-CUSI--MARTIN</t>
  </si>
  <si>
    <t>TTITO--PEDRO-</t>
  </si>
  <si>
    <t>LABRA-ACCOSTUPA--GENARO</t>
  </si>
  <si>
    <t>CHACAN-SANTIAGO---ANTA</t>
  </si>
  <si>
    <t>ACCOSTUPA--HERMITANO</t>
  </si>
  <si>
    <t>ACCOSTUPA-HUANCA--ANA-ARMANDO</t>
  </si>
  <si>
    <t>CHACAN-S-N</t>
  </si>
  <si>
    <t>CA020444</t>
  </si>
  <si>
    <t>ACCOSTUPA--ESCOLASTICO</t>
  </si>
  <si>
    <t>CA020032</t>
  </si>
  <si>
    <t>HUANCA--SATURNINA</t>
  </si>
  <si>
    <t>PANCARHUAYLLA-S-N</t>
  </si>
  <si>
    <t>CHUTAS-U---CIRILA</t>
  </si>
  <si>
    <t>CAPILLA-PANCARHUAYLLA-</t>
  </si>
  <si>
    <t>PANCARHUAYLLA---S-N</t>
  </si>
  <si>
    <t>HERMOZA-HUANCA--IVAN</t>
  </si>
  <si>
    <t>C-C--PANCARHUAYLLA-S-N-</t>
  </si>
  <si>
    <t>AYMA-PAUCCAR--SUSANA</t>
  </si>
  <si>
    <t>SECTOR-ERAPATA-S-N---PAMCARHUA</t>
  </si>
  <si>
    <t>INCACAYO-VALDEZ-DIONICIA</t>
  </si>
  <si>
    <t>PANCARHUAYLLA-ANTA</t>
  </si>
  <si>
    <t>HUANCA--QUISPE--NICASIO</t>
  </si>
  <si>
    <t>ACCOSTUPA--NESTOR</t>
  </si>
  <si>
    <t>PINO-AGUILAR--SANTIAGO</t>
  </si>
  <si>
    <t>CA020343</t>
  </si>
  <si>
    <t>AYTE-TTITO--SEGUNDINA</t>
  </si>
  <si>
    <t>HUAMANTUPA-HUAMAN--TOMAS</t>
  </si>
  <si>
    <t>PANCARHUAYLLA</t>
  </si>
  <si>
    <t>CHUTAS-HUAMANTALLA--AQUILINA</t>
  </si>
  <si>
    <t>CA020420</t>
  </si>
  <si>
    <t>AUCCAISE-HUAMAN--DOMINGO</t>
  </si>
  <si>
    <t>C-C--AYARMACA-SECTOR-LLAULLIRA</t>
  </si>
  <si>
    <t>CA020071</t>
  </si>
  <si>
    <t>FRANCO-DE-PILLCO--TERESA</t>
  </si>
  <si>
    <t>AYARMACA-II-PUCYURA</t>
  </si>
  <si>
    <t>ACCOSTUPA-SALLO--DOMINGO-DE-GU</t>
  </si>
  <si>
    <t>AYARMACA-II</t>
  </si>
  <si>
    <t>CA020070</t>
  </si>
  <si>
    <t>HUALLPA-CCOLOMA-TOMAS</t>
  </si>
  <si>
    <t>ASOC-SAN-SALVADOR-PUCYURA</t>
  </si>
  <si>
    <t>TEMPLO-EVANGELICO-</t>
  </si>
  <si>
    <t>CUSI-JUSTINIANI--DIONISIO</t>
  </si>
  <si>
    <t>PUCYURA-C-C--AYARMACA</t>
  </si>
  <si>
    <t>CCOLOMA-U-ALEJANDRO</t>
  </si>
  <si>
    <t>CHAUCA-OCHOA-ALCIDES</t>
  </si>
  <si>
    <t>RAYME-CUSIHUAMAN--WILVER</t>
  </si>
  <si>
    <t>C-C-AYARMACA-II-SECTOR-TTANTA-</t>
  </si>
  <si>
    <t>ANCAHUASI</t>
  </si>
  <si>
    <t>CA010220</t>
  </si>
  <si>
    <t>QUISPE-HUAMAN--CARLOS-ALBERTO</t>
  </si>
  <si>
    <t>C-C-ANCAHUASI--LT5-MZ-S1</t>
  </si>
  <si>
    <t>POLICIA-NACIONAL-</t>
  </si>
  <si>
    <t>ANCAHUASI---S-N</t>
  </si>
  <si>
    <t>HUAMAN-CJUMO-JUANA</t>
  </si>
  <si>
    <t>CA010059</t>
  </si>
  <si>
    <t>MAYTA-BACA--HIPOLITO</t>
  </si>
  <si>
    <t>AUQUIPUMA-ATAU--GILBERT</t>
  </si>
  <si>
    <t>MEJIA-TUCO-DARIO</t>
  </si>
  <si>
    <t>PLAZA-ARMAS-ANCAHUASI</t>
  </si>
  <si>
    <t>CALLA-AUPA-QUISPE--FELIX</t>
  </si>
  <si>
    <t>ANCAHUASI-ANTA</t>
  </si>
  <si>
    <t>MEJIA-FLORES--PASCUAL</t>
  </si>
  <si>
    <t>CCOMPI-CJUMO--ANDRES</t>
  </si>
  <si>
    <t>BRAVO-CCOHUA--HERMENEGILDO</t>
  </si>
  <si>
    <t>SECTOR-PAMPASCHACA-ANCAHUASI-</t>
  </si>
  <si>
    <t>CA010616</t>
  </si>
  <si>
    <t>SARAYA-PACHECO--SAUL-JOSE</t>
  </si>
  <si>
    <t>CARRION-MEJIA--VILMA</t>
  </si>
  <si>
    <t>HUAMANGUILLA-MEZA--MARIANO</t>
  </si>
  <si>
    <t>TICCA-Q-JUAN--NN</t>
  </si>
  <si>
    <t>HUARI-SALLO--AURORA</t>
  </si>
  <si>
    <t>URB--J-C--MAREATEGUI--ANCAHUAS</t>
  </si>
  <si>
    <t>QUISPE-VARGAS---VICTOR</t>
  </si>
  <si>
    <t>HOLGUIN-TUCO--JUSTINO</t>
  </si>
  <si>
    <t>INCHICSANA-HUAMAN-BEATRIZ</t>
  </si>
  <si>
    <t>LOPEZ-VALENCIA-PAULINA-</t>
  </si>
  <si>
    <t>JOSE-C-MARIATEGUI-ANCAHUA</t>
  </si>
  <si>
    <t>CJUNO-PIZARRO--ENRIQUE</t>
  </si>
  <si>
    <t>ANCAHUASI-LT4-MZ-D</t>
  </si>
  <si>
    <t>HUAMAN-QUISPE--CARMEN</t>
  </si>
  <si>
    <t>HUAMAN-TTUPA--PAULINO</t>
  </si>
  <si>
    <t>J-C-MARIATEGUI-ANCAHUASI</t>
  </si>
  <si>
    <t>HUAMAN-HUAMAN--CELESTINO</t>
  </si>
  <si>
    <t>URB--J-C--MARIATEGUI--J-9---AN</t>
  </si>
  <si>
    <t>CJUMO-HUARI--MIGUEL</t>
  </si>
  <si>
    <t>PIZARRO-HUAMAN--DEMETRIO</t>
  </si>
  <si>
    <t>ROQUE-MALDONADO-ELIAS</t>
  </si>
  <si>
    <t>MANZANAPATA-ANCAHUASI</t>
  </si>
  <si>
    <t>SAYRI-HUILLCA--JOSE</t>
  </si>
  <si>
    <t>ISLACHIN-CJUMO-SOLEDAD</t>
  </si>
  <si>
    <t>MANZANA-PATA-ANCAHUASI</t>
  </si>
  <si>
    <t>CA010379</t>
  </si>
  <si>
    <t>MUNICIPALIDAD-DISTRITAL-ANCAHU</t>
  </si>
  <si>
    <t>C-C--SAN-MARTIND-E-PORRES-S-N-</t>
  </si>
  <si>
    <t>CHANI-SUTTA--JORGE</t>
  </si>
  <si>
    <t>COMUNIDAD-SAN-MARTIN-SECTOR-SU</t>
  </si>
  <si>
    <t>CA010221</t>
  </si>
  <si>
    <t>CJUMO-QUEJIA--HIPOLITO</t>
  </si>
  <si>
    <t>SAN-MARCOS-ANCAHUASI</t>
  </si>
  <si>
    <t>VANACKEREN----GUY-OLIVIER</t>
  </si>
  <si>
    <t>C-C-SAN-MARCOS---ANCAHUASI</t>
  </si>
  <si>
    <t>CA010078</t>
  </si>
  <si>
    <t>PUCYURA-HUAMANGUILLA--GREGORIO</t>
  </si>
  <si>
    <t>CC-CHAMANCALLA--ANCAHUASI</t>
  </si>
  <si>
    <t>HUAMAN-SALDIVAR--AGUSTIN</t>
  </si>
  <si>
    <t>AYLLUMAYO</t>
  </si>
  <si>
    <t>LOPEZ-TTUPA--CLEMENTE</t>
  </si>
  <si>
    <t>C-CHAMANCALLA-ANCAHUASI</t>
  </si>
  <si>
    <t>CA010077</t>
  </si>
  <si>
    <t>CJUMO-HUARI--JASINTO</t>
  </si>
  <si>
    <t>LUCREPATA</t>
  </si>
  <si>
    <t>CCORAHUA-HUARI--WENCESLAO</t>
  </si>
  <si>
    <t>C-C-SAN-MARTIN-DE-PORRES---ANC</t>
  </si>
  <si>
    <t>SUTTA-HUANCA--VIRGINIA</t>
  </si>
  <si>
    <t>-C-C--SAN-MARTTIN-DE-PORRES--A</t>
  </si>
  <si>
    <t>MEJIA-QUISPE--DAVID</t>
  </si>
  <si>
    <t>SAN-MARTIN-S-N-ANCAHUASI</t>
  </si>
  <si>
    <t>HUAMAN-HUARI--HONORATO</t>
  </si>
  <si>
    <t>LUCREPATA-SAN-MARTIN-ANCAHUASI</t>
  </si>
  <si>
    <t>HUARI-CUSIHUALLPA--HILMAR</t>
  </si>
  <si>
    <t>C-C--SAN-MARTIN-DE-PORRES-S-N-</t>
  </si>
  <si>
    <t>CA010631</t>
  </si>
  <si>
    <t>CCOHUA-MANSILLA--ANASTACIO</t>
  </si>
  <si>
    <t>CCORAHUA-HUARI---WENSESLAO</t>
  </si>
  <si>
    <t>PACCOHUANCA-HUALLPA--IGNACIO</t>
  </si>
  <si>
    <t>CJUMO-HUARI--ABELARDO</t>
  </si>
  <si>
    <t>CC-SAN-MARTIN--ANCAHUASI</t>
  </si>
  <si>
    <t>HUAMAN-LOPEZ--VIRGILIO</t>
  </si>
  <si>
    <t>CA010634</t>
  </si>
  <si>
    <t>BASILIO-HUAMAN--EUSEBIO</t>
  </si>
  <si>
    <t>C-C--AYLLACCA-ACCORACCAY--ANCA</t>
  </si>
  <si>
    <t>CA010633</t>
  </si>
  <si>
    <t>HUAMAN-HUAMAN--LINO</t>
  </si>
  <si>
    <t>CC-AYLLACA--ACCORACAY</t>
  </si>
  <si>
    <t>CA010346</t>
  </si>
  <si>
    <t>TTUPA-HUAMAN--MATIAS</t>
  </si>
  <si>
    <t>CC-AYLLACCA-ACCORACCAY</t>
  </si>
  <si>
    <t>CCORAHUA-HUAMAN--ANGELINO</t>
  </si>
  <si>
    <t>C-C--AYLLACCA-ACCORACAY</t>
  </si>
  <si>
    <t>CHOQUISACA-HUAMAN--FLORENCIO</t>
  </si>
  <si>
    <t>C-C--AYLLCCA-ACCORACAY-S-N-ANC</t>
  </si>
  <si>
    <t>CA010080</t>
  </si>
  <si>
    <t>ANTENA-PARABOLICA-</t>
  </si>
  <si>
    <t>COLCABAMBA</t>
  </si>
  <si>
    <t>HUAMAN-TTUPA--SEFERINO</t>
  </si>
  <si>
    <t>CCOLCCABAMBA</t>
  </si>
  <si>
    <t>TTUPA-HUAMAN--LAUREANO</t>
  </si>
  <si>
    <t>CCOLCABAMBA</t>
  </si>
  <si>
    <t>CA010138</t>
  </si>
  <si>
    <t>HUAMAN-MEJIA--CARLOS-ALBERTO</t>
  </si>
  <si>
    <t>COM--CCASACANCHA-ANCAHUASI</t>
  </si>
  <si>
    <t>CA010137</t>
  </si>
  <si>
    <t>TTUPA-HUAMAN--CECILIO</t>
  </si>
  <si>
    <t>CCASACANCHA</t>
  </si>
  <si>
    <t>GARCIA-CHOQUESACA--LAUREANO</t>
  </si>
  <si>
    <t>CA010079</t>
  </si>
  <si>
    <t>HUARI-MEJIA--EVA</t>
  </si>
  <si>
    <t>C-C-SAN-RAFAEL----ANCAHUASI-</t>
  </si>
  <si>
    <t>CJUMO-INCHICSANA-EULOGIO</t>
  </si>
  <si>
    <t>SAN-RAFAEL--ANCAHUASI</t>
  </si>
  <si>
    <t>YNCHICSANA-MEDINA--ALEJANDRO</t>
  </si>
  <si>
    <t>SAN-RAFAEL---ANCAHUASI</t>
  </si>
  <si>
    <t>CA010222</t>
  </si>
  <si>
    <t>HUAMAN-CHOQUESACA--INES</t>
  </si>
  <si>
    <t>HUAMAN-CHACONA</t>
  </si>
  <si>
    <t>HUAMAN-CHARA-JULIAN</t>
  </si>
  <si>
    <t>CHUQUISACA-NINA-EUSEBIA</t>
  </si>
  <si>
    <t>HUAMAN-CHACCONA</t>
  </si>
  <si>
    <t>CA010625</t>
  </si>
  <si>
    <t>HUARI-HUAMAN-FELIX</t>
  </si>
  <si>
    <t>CA010624</t>
  </si>
  <si>
    <t>HUAMAN-MEJIA-MAXIMO</t>
  </si>
  <si>
    <t>CA010076</t>
  </si>
  <si>
    <t>ZAMATA-DE-ALVAREZ--MARIA-EXALT</t>
  </si>
  <si>
    <t>C-C--CCACCAHUARA---ANCAHUASI</t>
  </si>
  <si>
    <t>CHAHUIN-HUAMAN--GUILLERMA</t>
  </si>
  <si>
    <t>C-C--CCACCAHUARA</t>
  </si>
  <si>
    <t>CA010627</t>
  </si>
  <si>
    <t>ORTEGA-DE-CAMARA--GREGORIA</t>
  </si>
  <si>
    <t>CCACAHUARA</t>
  </si>
  <si>
    <t>HUILLCA-NOLBERTO-</t>
  </si>
  <si>
    <t>CCACACHARA-S-N</t>
  </si>
  <si>
    <t>MORA-QUINTANILLA--AURELIO</t>
  </si>
  <si>
    <t>CCACCAHUARA-ANCAHUASI</t>
  </si>
  <si>
    <t>CA010628</t>
  </si>
  <si>
    <t>ATAUCHI-HUAMAN--BENITO</t>
  </si>
  <si>
    <t>SECTOR-CCORIPATA-CC-CCACAHUARA</t>
  </si>
  <si>
    <t>CA010377</t>
  </si>
  <si>
    <t>CANAL-MAYTA--ENRIQUETA</t>
  </si>
  <si>
    <t>CUMUNIDAD-CCACCAHUARA-SECTOR-P</t>
  </si>
  <si>
    <t>CHINCHAYPUJIO</t>
  </si>
  <si>
    <t>CA010339</t>
  </si>
  <si>
    <t>JANAMPA-LIAS---MARIO</t>
  </si>
  <si>
    <t>CENTRO-POBLADO-DE-PANTIPATA-S-</t>
  </si>
  <si>
    <t>HILARES-HUANACO-CONSTANTINO</t>
  </si>
  <si>
    <t>C-PANTIPATA-CHINCHAYPUCYO</t>
  </si>
  <si>
    <t>LOPEZ-CABRERA--CASIMIRO</t>
  </si>
  <si>
    <t>C-C--PANTIPATA-CALLE-CAMINO-A-</t>
  </si>
  <si>
    <t>LOPEZ-CAMERO--CESAR</t>
  </si>
  <si>
    <t>C-C--PANTIPATA--CHINCHAYPUJIO</t>
  </si>
  <si>
    <t>MARISCAL-PAUCAR-FLORENTINO</t>
  </si>
  <si>
    <t>VILLAFUERTE-RICRA--FAUSTINO</t>
  </si>
  <si>
    <t>C-C--DE-PANTIPATA--CHINCHAYPUC</t>
  </si>
  <si>
    <t>CA010057</t>
  </si>
  <si>
    <t>LOAIZA-RAMOS--ARTEMIO</t>
  </si>
  <si>
    <t>CHALQUICASA</t>
  </si>
  <si>
    <t>CRUZ-CASTRO--GABRIEL</t>
  </si>
  <si>
    <t>CHAQUILCCASA</t>
  </si>
  <si>
    <t>SALON-COMUNAL---CRISPIN-VARGAS</t>
  </si>
  <si>
    <t>CIRCA-CHAQUILLCCASA</t>
  </si>
  <si>
    <t>ESPINOZA-H---TORIBIO</t>
  </si>
  <si>
    <t>CHAQUILCASA---S-N</t>
  </si>
  <si>
    <t>VARGAS-CRUZ--MARIANO-ASUNCION</t>
  </si>
  <si>
    <t>CA010636</t>
  </si>
  <si>
    <t>VARGAS-CRUZ---ANASTACIO</t>
  </si>
  <si>
    <t>VALDERRAMA-JORGE-</t>
  </si>
  <si>
    <t>CCORAHUA-HUARI--MARIO</t>
  </si>
  <si>
    <t>AUQUIPUMA-BAEZ--SATURNINO</t>
  </si>
  <si>
    <t>C-C--CIRCA--CHAQUILLCASA--ANCA</t>
  </si>
  <si>
    <t>CRUZ-ANICETO-</t>
  </si>
  <si>
    <t>CA010378</t>
  </si>
  <si>
    <t>MAYTA-PORROA--LUISA</t>
  </si>
  <si>
    <t>C-C--CIRCA-KCACYA---ANCAHUASI</t>
  </si>
  <si>
    <t>CA010619</t>
  </si>
  <si>
    <t>ANDIA-ENRIQUEZ--VENTURO--ENRIQ</t>
  </si>
  <si>
    <t>C-C--CIRCA--KCACYA---ANCAHUASI</t>
  </si>
  <si>
    <t>CA010074</t>
  </si>
  <si>
    <t>HUAMAN-PACCOHUANCA--OSCAR</t>
  </si>
  <si>
    <t>C-C-CIRCA-KACYA-URB-EL-TRIUNFO</t>
  </si>
  <si>
    <t>HUAMAN-TTITO--HERMELINDA</t>
  </si>
  <si>
    <t>CC-CIRCA-KCACYA-ANCAHUASI</t>
  </si>
  <si>
    <t>PILLPINTO--AVILES---DELIA-</t>
  </si>
  <si>
    <t>C-C--CIRKA-KCACYA--ANCAHUASI-</t>
  </si>
  <si>
    <t>HUAMANCCARI-HUILLCA--GREGORIA</t>
  </si>
  <si>
    <t>CA010073</t>
  </si>
  <si>
    <t>CIRCA--KCAYA-ANCAHUASI</t>
  </si>
  <si>
    <t>BRAVO-QUEVEDO--ALBERTO</t>
  </si>
  <si>
    <t>CIRCA-KCACYA--LA-VICTORIA-ANCA</t>
  </si>
  <si>
    <t>CA010618</t>
  </si>
  <si>
    <t>CJUMO-ANO--SATURNINO</t>
  </si>
  <si>
    <t>CIRCA-K-</t>
  </si>
  <si>
    <t>HUARANCCA-HUAMAN--MARTHA</t>
  </si>
  <si>
    <t>HUAMANCCARI-AFAN--HILARIO</t>
  </si>
  <si>
    <t>CCAMATO-CJUMO--SANTIAGO</t>
  </si>
  <si>
    <t>HUAMANCCARI-HUILLCA--EXALTACIO</t>
  </si>
  <si>
    <t>PALOMINO-HUAMAN--FELICIANO</t>
  </si>
  <si>
    <t>CIRCA-CCACYA-S-N</t>
  </si>
  <si>
    <t>CHACON-VARGAS-LEANDRO-</t>
  </si>
  <si>
    <t>SALDIVAR-HOLGUIN--AURELIO</t>
  </si>
  <si>
    <t>C-C-CIRCA-KCACYA-S-N--ANCAHUAS</t>
  </si>
  <si>
    <t>INCHICSANA-MIGUEL-</t>
  </si>
  <si>
    <t>HUAMAN-TTITO--SANTOS</t>
  </si>
  <si>
    <t>C-C-CIRCA-KCACYA-SN---ANCAHUAS</t>
  </si>
  <si>
    <t>HUAMAN-TTITO--MARIANO-ROSARIO</t>
  </si>
  <si>
    <t>MEDINA-MARIANO-</t>
  </si>
  <si>
    <t>CJUMO-HUAMAN--LUCIO</t>
  </si>
  <si>
    <t>VARGAS-CCORAHUA--ALEJANDRO</t>
  </si>
  <si>
    <t>C-C-CIRCA-KCACYA---ANCAHUASI</t>
  </si>
  <si>
    <t>LIMATAMBO</t>
  </si>
  <si>
    <t>CA010273</t>
  </si>
  <si>
    <t>LEVA-HUAMAN-FLORENCIO</t>
  </si>
  <si>
    <t>CHURO-LIMATAMBO</t>
  </si>
  <si>
    <t>CA010275</t>
  </si>
  <si>
    <t>HUAMANI-QUISPE--MIGUEL</t>
  </si>
  <si>
    <t>C-C--PAMPAHUAYLLA-LIMATAMBO</t>
  </si>
  <si>
    <t>QUISPE-CHAMPI--ANDREA</t>
  </si>
  <si>
    <t>C-C--PAMPAHUAYLLA-S-N--LIMATAM</t>
  </si>
  <si>
    <t>COSE-HUARI-VIDAL</t>
  </si>
  <si>
    <t>PAMPAHUAYLLA-LIMATAMBO</t>
  </si>
  <si>
    <t>QUEJIA-HUAMANI--JUAN</t>
  </si>
  <si>
    <t>QUISPE-HUAMAN-VICTOR</t>
  </si>
  <si>
    <t>SANI-QUEJIA--WENCESLAO</t>
  </si>
  <si>
    <t>CHAMPI-HUAMAN-ARISTIDES</t>
  </si>
  <si>
    <t>CA010274</t>
  </si>
  <si>
    <t>QUISPE-HUAMAN-CIRILO</t>
  </si>
  <si>
    <t>ICHAQ----LIMATAMBO</t>
  </si>
  <si>
    <t>CA010276</t>
  </si>
  <si>
    <t>KUSI-WAWA-DE-URATARI</t>
  </si>
  <si>
    <t>C-C--URATARI---LIMATAMBO</t>
  </si>
  <si>
    <t>QUISPE-QUEJIA--MAURO</t>
  </si>
  <si>
    <t>URATARI-LIMATAMBO</t>
  </si>
  <si>
    <t>QUISPE-DE-CCORAHUA--AGUSTINA</t>
  </si>
  <si>
    <t>C-C-URATARI-LIMATAMBO</t>
  </si>
  <si>
    <t>CA010277</t>
  </si>
  <si>
    <t>QUISPE-FANOLA--LINO</t>
  </si>
  <si>
    <t>C-C--CHOQUEMARCA-LIMATAMB</t>
  </si>
  <si>
    <t>CA010278</t>
  </si>
  <si>
    <t>SILVA-DUE-AS--VICENTE</t>
  </si>
  <si>
    <t>PIVIL-LIMATAMBO</t>
  </si>
  <si>
    <t>CA010279</t>
  </si>
  <si>
    <t>VERA-CANAL--AURELIO</t>
  </si>
  <si>
    <t>HUANCARIRE-LIMATAMBO</t>
  </si>
  <si>
    <t>PALMA-HUAMANI-MAMERTO</t>
  </si>
  <si>
    <t>CA010230</t>
  </si>
  <si>
    <t>CCOHUA-TTITO--PEDRO-CRISOSTOMO</t>
  </si>
  <si>
    <t>C-C--HUILLQUE-ANCAHUASI</t>
  </si>
  <si>
    <t>CCOHUA-HUARI--HILDA</t>
  </si>
  <si>
    <t>CA010635</t>
  </si>
  <si>
    <t>HUILLCA-SOLIS--ANGEL</t>
  </si>
  <si>
    <t>C-C--CHACLLANCCA-HUILLQUE---LI</t>
  </si>
  <si>
    <t>CA030109</t>
  </si>
  <si>
    <t>MENDOZA-CONDORI--DAVID</t>
  </si>
  <si>
    <t>C-C--CACHIMAYO-SECTOR-SIMACUCH</t>
  </si>
  <si>
    <t>CA030111</t>
  </si>
  <si>
    <t>JAIMES-QUISPE--FRANCISCA</t>
  </si>
  <si>
    <t>AV-LEONIDAS-RODRIGUEZ-FIGUEROA</t>
  </si>
  <si>
    <t>CA030112</t>
  </si>
  <si>
    <t>QUISPE-CURI--TEODORA</t>
  </si>
  <si>
    <t>SECTOR-NUEVA-ESPERANZA-CACHIMA</t>
  </si>
  <si>
    <t>ALBERTO-L---LUIS</t>
  </si>
  <si>
    <t>L--RODRIGUEZ-125</t>
  </si>
  <si>
    <t>TORRES-QUISPE--ROQUE-JOAQUIN</t>
  </si>
  <si>
    <t>AV--MANCO-CCAPAC-CACHIMAYO</t>
  </si>
  <si>
    <t>CA030110</t>
  </si>
  <si>
    <t>CASTRO-DE-LUNA--ROSA-MARIA</t>
  </si>
  <si>
    <t>SECTOR-CAJAMARCA-FUNDO-ESPERAN</t>
  </si>
  <si>
    <t>DIRAVPOL-DIVSAM--USAM---PNP</t>
  </si>
  <si>
    <t>PISTA--PRINCIPAL-CACHIMAYO</t>
  </si>
  <si>
    <t>AGUIRRE-SERRANO--PAULINO</t>
  </si>
  <si>
    <t>C-C-CAJAMARCA-S-N---CACHIMAYO</t>
  </si>
  <si>
    <t>CA030352</t>
  </si>
  <si>
    <t>QUI-ONEZ-URBINA--ISABEL</t>
  </si>
  <si>
    <t>SECTOR--BATAMPAMPA</t>
  </si>
  <si>
    <t>TORRES-ARANA--MARIO</t>
  </si>
  <si>
    <t>CACHIMAYO-GENERAL-SN-MART</t>
  </si>
  <si>
    <t>COMISARIA-PNP-DE-CACHIMAYO</t>
  </si>
  <si>
    <t>TORRES-CHAVEZ--FELIPA-TERESA</t>
  </si>
  <si>
    <t>AV--28-DE-JULIO-CACHIMAYO</t>
  </si>
  <si>
    <t>USCAPI-HUALLPA-BENITO</t>
  </si>
  <si>
    <t>NUEVA-ESPERANZA-CACHIMAYO</t>
  </si>
  <si>
    <t>CHOQUE-MELGAREJO--MAXIMO</t>
  </si>
  <si>
    <t>COMUNIDAD-CACHIM--S-N</t>
  </si>
  <si>
    <t>TORRES-SARMIENTO--DELIA</t>
  </si>
  <si>
    <t>SALAS-PUMA-FRANCISCA-</t>
  </si>
  <si>
    <t>SEC-MARANHUAYCO-CACHIMAYO</t>
  </si>
  <si>
    <t>QUISPE-CURI--ANTENOR</t>
  </si>
  <si>
    <t>QUESHUA-CAHIMAYO-S-N</t>
  </si>
  <si>
    <t>LEZAMA-CURI-FLORENTINA</t>
  </si>
  <si>
    <t>CALLE-UNION-CACHIMAYO</t>
  </si>
  <si>
    <t>CA020358</t>
  </si>
  <si>
    <t>CHACON-ZU-IGA--JUVENAL</t>
  </si>
  <si>
    <t>BELLAVISTA-KM-18-PUCYURA</t>
  </si>
  <si>
    <t>CA020601</t>
  </si>
  <si>
    <t>CORZO-MANRIQUE--CLUVER-MOISES</t>
  </si>
  <si>
    <t>A-P-V-C--DE-RESIDENTES-CONVENC</t>
  </si>
  <si>
    <t>ALVAREZ-DE-VIZAGA--JUSTA-ROSA</t>
  </si>
  <si>
    <t>BACA-DE-CASTRO--IRMA</t>
  </si>
  <si>
    <t>OCHOA-TECSE--PAULINA</t>
  </si>
  <si>
    <t>A-P-V--RESIDENTES-CONVENCIANOS</t>
  </si>
  <si>
    <t>CA030108</t>
  </si>
  <si>
    <t>CAPILLA-VIRGEN-DEL-CARMEN-CACH</t>
  </si>
  <si>
    <t>COM-CAMPESINA-VILLA-DEL-CARMEN</t>
  </si>
  <si>
    <t>HUAROCONDO</t>
  </si>
  <si>
    <t>CA020012</t>
  </si>
  <si>
    <t>AUCCA-CHAUCCA--VICTOR</t>
  </si>
  <si>
    <t>STA-ROSA-S-N</t>
  </si>
  <si>
    <t>VASQUEZ-ROMAN-DE-DIAZ--EUFEMIA</t>
  </si>
  <si>
    <t>BARRIO-SANTA-ROSA-HUAROCONDO</t>
  </si>
  <si>
    <t>ATAUSUPA-U-APILLCO--POLICARPO</t>
  </si>
  <si>
    <t>AV-LUCAS-ORMACHEA-BARRIO-STA-R</t>
  </si>
  <si>
    <t>VARGAS-DIAZ--EDMUNDO-TIMOTEO</t>
  </si>
  <si>
    <t>SANTA-ROSA-CALLE-FERROCARRIL-H</t>
  </si>
  <si>
    <t>LEIVA-ILLANES--CIRILO</t>
  </si>
  <si>
    <t>CA020016</t>
  </si>
  <si>
    <t>HUILLCA-CUSI--MARCELINA</t>
  </si>
  <si>
    <t>TACNA-S-N</t>
  </si>
  <si>
    <t>CA020013</t>
  </si>
  <si>
    <t>ARCONDO-SOLIS--JULIO</t>
  </si>
  <si>
    <t>HUAROCONDO---CALLE-CUSCO--S-N</t>
  </si>
  <si>
    <t>GONZA-FERNANDEZ--JUSTINO</t>
  </si>
  <si>
    <t>CENTRO-POBLADO-DE-HUAROCONDO-M</t>
  </si>
  <si>
    <t>CA020015</t>
  </si>
  <si>
    <t>HUALLPA-AUCCA--ELSA</t>
  </si>
  <si>
    <t>CALLE-AREQUIPA-LT--9-MZ--R1---</t>
  </si>
  <si>
    <t>TINTA-DE-QUISPE--NICOLASA</t>
  </si>
  <si>
    <t>CALLE-BOLIVAR</t>
  </si>
  <si>
    <t>HUAYPAR-CONDORHUAMAN</t>
  </si>
  <si>
    <t>GRAU-S-N</t>
  </si>
  <si>
    <t>VELAZCO-DE--PUMA--ERNESTINA</t>
  </si>
  <si>
    <t>HUARCONDO-CALLE-GRAU-S-N</t>
  </si>
  <si>
    <t>FERNANDEZ-TINTA--PABLO</t>
  </si>
  <si>
    <t>AUCCA-DE-VILLACA--SABINA</t>
  </si>
  <si>
    <t>CALLE-AREQUIPA-HUAROCONDO</t>
  </si>
  <si>
    <t>POLICIA-NACIONAL-HUAROCONDO</t>
  </si>
  <si>
    <t>SAN-MARTIN</t>
  </si>
  <si>
    <t>VELAZCO-CONCHAN--JORGE</t>
  </si>
  <si>
    <t>INDEPENDENCIA-S-N-</t>
  </si>
  <si>
    <t>VERGARA-ALMIRON--GUMERCINDO</t>
  </si>
  <si>
    <t>CALLE--ESPINAR--S-N---HUAROCON</t>
  </si>
  <si>
    <t>VALDEZ-SOTO--MARIA</t>
  </si>
  <si>
    <t>CUSCO-S-N-</t>
  </si>
  <si>
    <t>SALAS-ZAVALA--AGRIPINO</t>
  </si>
  <si>
    <t>UNION-S-N-</t>
  </si>
  <si>
    <t>UTURUNCO-HUAMAN--NORMA</t>
  </si>
  <si>
    <t>CALLE-UNION-S-N-HUAROCONDO-</t>
  </si>
  <si>
    <t>GUTIERREZ-PAREDES--T</t>
  </si>
  <si>
    <t>CONDORHUAMAN-HUAMAN--FELICIA</t>
  </si>
  <si>
    <t>SOLIS-DE-SILVA--GREGORIA</t>
  </si>
  <si>
    <t>CALLE-UNION-LT-7---I1---HUAROC</t>
  </si>
  <si>
    <t>QUISPE-AUCCA--VALENTIN</t>
  </si>
  <si>
    <t>ARCONDO-QUISPE-DE-VARA--BENITA</t>
  </si>
  <si>
    <t>CONDORHUAMAN-ARCONDO</t>
  </si>
  <si>
    <t>INCA-S-N-</t>
  </si>
  <si>
    <t>UNAPILLCO-QUINTANILLA--PAULINO</t>
  </si>
  <si>
    <t>AYACUCHO</t>
  </si>
  <si>
    <t>SURCO-CRUZ--SIXTO</t>
  </si>
  <si>
    <t>CALLE-AYACUCHO-LT-12-MZ-F2-HUA</t>
  </si>
  <si>
    <t>UTURUNCO-HUALLPA--BENEDICTA</t>
  </si>
  <si>
    <t>AYACUCHO-S-N-</t>
  </si>
  <si>
    <t>QUISPE-QUIN--LINO</t>
  </si>
  <si>
    <t>SALAS-L--JUANA</t>
  </si>
  <si>
    <t>POPULAR-HUAROCONDO</t>
  </si>
  <si>
    <t>CA020376</t>
  </si>
  <si>
    <t>PUMA-VILLAFUERTE--LILIBHET</t>
  </si>
  <si>
    <t>URB--TRES-REYES-S-N---MARKJO</t>
  </si>
  <si>
    <t>CCOPA-QUISPE--EULOGIO</t>
  </si>
  <si>
    <t>LEVA-CUSIRIMAY--ROLANDO</t>
  </si>
  <si>
    <t>TRES-REYES-MARKJU-GRANDE-S-N--</t>
  </si>
  <si>
    <t>LEVA-CUSIRIMAY-ROLANDO</t>
  </si>
  <si>
    <t>MARKJU-ANTA</t>
  </si>
  <si>
    <t>LEVA-LEVA--RICARDA</t>
  </si>
  <si>
    <t>LOS-TRES-REYES--MARKJU--ANTA</t>
  </si>
  <si>
    <t>C-C-MARKJO-ANTA</t>
  </si>
  <si>
    <t>CA020010</t>
  </si>
  <si>
    <t>MESCO-----JULIO</t>
  </si>
  <si>
    <t>MARKU-S-N</t>
  </si>
  <si>
    <t>CANSAYA-AUCCA--EDGAR</t>
  </si>
  <si>
    <t>CUSI-DURAN--HILARIO</t>
  </si>
  <si>
    <t>CC--MARKU--ANTA</t>
  </si>
  <si>
    <t>QUISPE-HUANACO--MARCELINA</t>
  </si>
  <si>
    <t>CA020156</t>
  </si>
  <si>
    <t>TECSI-TTITO--FELIX</t>
  </si>
  <si>
    <t>SIHUINA---MARKJO</t>
  </si>
  <si>
    <t>CA020038</t>
  </si>
  <si>
    <t>HUALLPA-HUALLPA--VICENTE</t>
  </si>
  <si>
    <t>RAHUANQUI-S-N</t>
  </si>
  <si>
    <t>HUALLPA-Q-JULIO</t>
  </si>
  <si>
    <t>CUSIHUALLPA-VDA-DE-H</t>
  </si>
  <si>
    <t>CA020006</t>
  </si>
  <si>
    <t>JAQUIJAHUANA---IZCUCHACA</t>
  </si>
  <si>
    <t>CCAPCHA-QUISPE--MARIANO-CARMEN</t>
  </si>
  <si>
    <t>JAQUIJAHUANA-IZCUCHACA</t>
  </si>
  <si>
    <t>FARFAN-PINO--ANGEL-CUSTODIO</t>
  </si>
  <si>
    <t>JR--JAQUIJAHUANA-MZ-A6--IZCUCH</t>
  </si>
  <si>
    <t>CA020585</t>
  </si>
  <si>
    <t>GUERRA-AYTE--COCO</t>
  </si>
  <si>
    <t>JR-JAQUIJAHUANA-N-58-IZCUCHACA</t>
  </si>
  <si>
    <t>JR--JAQUIJAHUANA-N--58---IZCUC</t>
  </si>
  <si>
    <t>MAROCHO-MEJIA--ERNESTINA</t>
  </si>
  <si>
    <t>JAQUIJAHUANA-IZCUCHACA-33</t>
  </si>
  <si>
    <t>USCAMAITA-CHACON--ERNESTINA</t>
  </si>
  <si>
    <t>IZCUCHACA-JAQUIJAHUANA-71</t>
  </si>
  <si>
    <t>CA020008</t>
  </si>
  <si>
    <t>HIDALGO-ROJAS--ROSA-MERCEDES</t>
  </si>
  <si>
    <t>CENTRO-POBLADO-IZCUCHACA-MZ-G-</t>
  </si>
  <si>
    <t>CONCEJO-MUNICIPAL-PROVINCIAL</t>
  </si>
  <si>
    <t>JR-JAQUIJAHUANA-PILETA</t>
  </si>
  <si>
    <t>CHUTAS--ANDRES</t>
  </si>
  <si>
    <t>JR--JAQUIJAHUANA-IZCUCHAC</t>
  </si>
  <si>
    <t>ARANIBAR--CARLOS</t>
  </si>
  <si>
    <t>OROSCO-SABINA-</t>
  </si>
  <si>
    <t>PROL-JAQUIJAHUANA</t>
  </si>
  <si>
    <t>SALAZAR-NAVARRETE--GLADYS--SUS</t>
  </si>
  <si>
    <t>JR--JAQUIJAHUANA--705--IZCUCHA</t>
  </si>
  <si>
    <t>JR--JAQUIJAHUANA----OVALO-JAQU</t>
  </si>
  <si>
    <t>PALACIO-MUNICIPAL</t>
  </si>
  <si>
    <t>JAQUIJAHUANA</t>
  </si>
  <si>
    <t>ESTADIO-MUNICIPAL-</t>
  </si>
  <si>
    <t>IZCUCHACA</t>
  </si>
  <si>
    <t>CHUTAS-RAYME--FRANCISCO</t>
  </si>
  <si>
    <t>JR--JAQUIJAHUANA-152</t>
  </si>
  <si>
    <t>ANO-COSTILLA-ESTANISLAO</t>
  </si>
  <si>
    <t>PROLONG-JAQUIJAHUANA-19</t>
  </si>
  <si>
    <t>ESPINOZA-QUISPE--WALTER</t>
  </si>
  <si>
    <t>JAQUIJAHUANA-IZCUCHACA-16</t>
  </si>
  <si>
    <t>EX-BIBLIOTECA-MUNICIPAL-</t>
  </si>
  <si>
    <t>AV--LOS-ANDES</t>
  </si>
  <si>
    <t>TTITO-HUAMANI--YESSICA</t>
  </si>
  <si>
    <t>CALLE-FERROCARRIL--ESPAPALDA-J</t>
  </si>
  <si>
    <t>ARANIBAR-HUAMAN--CELIA</t>
  </si>
  <si>
    <t>CALL--FERROCARRIL-FRC-2-LT-K1-</t>
  </si>
  <si>
    <t>ANTENA-PARABOLICA--DE-ANTA</t>
  </si>
  <si>
    <t>CERRO-PFUCHU-ORCCO-S-N</t>
  </si>
  <si>
    <t>U-URUCO-HERRERA--CRISTINA</t>
  </si>
  <si>
    <t>JIRON-JUNIN-MZ-1---3B---IZCUCH</t>
  </si>
  <si>
    <t>USCAMAITA-CHACON--ROLANDO</t>
  </si>
  <si>
    <t>JR--JUNIN-N-27---B</t>
  </si>
  <si>
    <t>PAGUADA-SUCNO--RAMIRO</t>
  </si>
  <si>
    <t>JR--AGUSTIN-GAMARRA-N--702---I</t>
  </si>
  <si>
    <t>FARFAN--TELLO--JUSTO-GERMAN-</t>
  </si>
  <si>
    <t>LT-6--MZ-M--IZCUCHACA-</t>
  </si>
  <si>
    <t>MOREANO-TECSE--LIDIA</t>
  </si>
  <si>
    <t>PROLONGACION--TARAPACA--CARRET</t>
  </si>
  <si>
    <t>QUISPE-TEJADA-ROSA</t>
  </si>
  <si>
    <t>TARAPACA</t>
  </si>
  <si>
    <t>ESCOBAR-QUISPE--JORGE</t>
  </si>
  <si>
    <t>CALLE-TARAPACA-LT--10-MZ--J---</t>
  </si>
  <si>
    <t>RONDAN-VILLAFUERTE--NATIVIDAD</t>
  </si>
  <si>
    <t>JR--JAQUIJAHUANA-N--704-JIRON-</t>
  </si>
  <si>
    <t>CHACON-MEZA--NEIDA</t>
  </si>
  <si>
    <t>JIRON-BRE-A-N-303--IZCUCHACA</t>
  </si>
  <si>
    <t>HUAMANI-AGUILAR--ANACLETO</t>
  </si>
  <si>
    <t>JR--BRE-A-K---2-ANTA</t>
  </si>
  <si>
    <t>UMERES-LOAIZA--IMELDA</t>
  </si>
  <si>
    <t>JIRON-JAQUIJAHUANA-S-N---IZCUC</t>
  </si>
  <si>
    <t>VARGAS-HUAMAN--MAXIMO</t>
  </si>
  <si>
    <t>JR--ARICA-IZCUCH--204</t>
  </si>
  <si>
    <t>ZARATE-CCOMPI--JULIO</t>
  </si>
  <si>
    <t>CALLE-CONFRATERNIDAD-N-207-IZC</t>
  </si>
  <si>
    <t>MERCADO-CENTRAL--DE-ABASTOS</t>
  </si>
  <si>
    <t>JR-JAQUIJAHUANA</t>
  </si>
  <si>
    <t>FIGUEROA-DE-TTITO--GUALBERTA</t>
  </si>
  <si>
    <t>IZCUCHACA-MERCADO-STAND-N--32-</t>
  </si>
  <si>
    <t>VELAZCO--SANTOS--ELENA-EMPERAT</t>
  </si>
  <si>
    <t>URB--SAN-ROSA</t>
  </si>
  <si>
    <t>CAMAL-MUNICIPAL</t>
  </si>
  <si>
    <t>SANTA-ROSA---INMACULADA</t>
  </si>
  <si>
    <t>CALDERON-TITO--ROBINSON</t>
  </si>
  <si>
    <t>CALLE-INMACULADA-S-N---IZCUCHA</t>
  </si>
  <si>
    <t>KUTUCALLA-T-GREGORIO-</t>
  </si>
  <si>
    <t>IZCUCHACA-URB--SANTA-ROSA</t>
  </si>
  <si>
    <t>MOSCOSO-CARRASCO--FIDEL</t>
  </si>
  <si>
    <t>CALLE-LIBERTAD-LT--06-MZ--Y---</t>
  </si>
  <si>
    <t>-A-P-V-NUEVA-ESPERANZA-SECTOR-</t>
  </si>
  <si>
    <t>ACCOSTUPA-HUALLPARIMACHI--NEST</t>
  </si>
  <si>
    <t>VALLE-JAQUIJAHUANA-IZCUCHACA</t>
  </si>
  <si>
    <t>MESCCO-CASTRO--ASCENCIO</t>
  </si>
  <si>
    <t>APV-VALLE-JAQUIJAHUANA</t>
  </si>
  <si>
    <t>APAZA-MENDOZA--VICENTE</t>
  </si>
  <si>
    <t>FERNANDEZ-GUTIERREZ--CARLO-MAR</t>
  </si>
  <si>
    <t>JR--FERROCARRIL---MERCADO-PORV</t>
  </si>
  <si>
    <t>CA020116</t>
  </si>
  <si>
    <t>USCAMAITA-CHAI-A--VALERIO</t>
  </si>
  <si>
    <t>URB-SANTA-RITA-N-15-MZ-H--IZCU</t>
  </si>
  <si>
    <t>PAUCAR-H---JACINTO</t>
  </si>
  <si>
    <t>JR--JAQUIJAHUANA--STA-RITA-IZC</t>
  </si>
  <si>
    <t>URB--SANTA--RITA---IZCUCHACA--</t>
  </si>
  <si>
    <t>CA020134</t>
  </si>
  <si>
    <t>APAZA-PAREDES--MERIDA</t>
  </si>
  <si>
    <t>URB-VILLA-LA-UNION-LT-B-1---IZ</t>
  </si>
  <si>
    <t>GALLEGOS-VIVAS---JORGE</t>
  </si>
  <si>
    <t>URB--LA-UNION-ANTA</t>
  </si>
  <si>
    <t>HERMOZA-ROJAS-FELIPE</t>
  </si>
  <si>
    <t>AA-HH--VILLA-UNION-IZCUCH</t>
  </si>
  <si>
    <t>MENDOZA-ARANYA-CLAUDIA</t>
  </si>
  <si>
    <t>AA--HH--LA-UNION</t>
  </si>
  <si>
    <t>QUISPE-GAMARRA--FRANCISCO</t>
  </si>
  <si>
    <t>PALMA-CARRASCO--GREGORIA</t>
  </si>
  <si>
    <t>URB--VILLA-LA-UNION</t>
  </si>
  <si>
    <t>HUAMAN-PAUCAR--ANGEL</t>
  </si>
  <si>
    <t>AA--HH--LA-UNION-S-N</t>
  </si>
  <si>
    <t>BACA-CCOSCCO-DE-NEGRON--NEYSA</t>
  </si>
  <si>
    <t>AAHH-LA-UNION</t>
  </si>
  <si>
    <t>PUMASUPA-HUALLPA---UBALDO-</t>
  </si>
  <si>
    <t>COMUNIDAD-PICHOC--IZCUCHACA-</t>
  </si>
  <si>
    <t>FERNANDEZ-RODRIGUEZ--VICTOR</t>
  </si>
  <si>
    <t>AA--HH--LA-UNION-N--F-5</t>
  </si>
  <si>
    <t>HUAMANQUILLA-RONDAN--DELFINA</t>
  </si>
  <si>
    <t>AA--HH--LA-UNION-LT-4B-MZ-F</t>
  </si>
  <si>
    <t>CA020072</t>
  </si>
  <si>
    <t>CENTRO-DE--SALUD</t>
  </si>
  <si>
    <t>HOSPITALPAMPA---IZCUCHACA</t>
  </si>
  <si>
    <t>PUMA-DE-MAMANI--REBECA</t>
  </si>
  <si>
    <t>PI-E-HUALLPARIMACHI--IVAN</t>
  </si>
  <si>
    <t>HOSPITALPAMPA-SECTOR-PUCRUPAMP</t>
  </si>
  <si>
    <t>CA020446</t>
  </si>
  <si>
    <t>QUISPE-ANO--EUFEMIA-DOROTEA</t>
  </si>
  <si>
    <t>URB-HOSPITALPAMPA-MZ-A-LT6</t>
  </si>
  <si>
    <t>PROLOGACION-JUNIN-----IZCUCHAC</t>
  </si>
  <si>
    <t>INVERNADERO-MUNICIPAL</t>
  </si>
  <si>
    <t>HOSPITALPAMPA</t>
  </si>
  <si>
    <t>CA020100</t>
  </si>
  <si>
    <t>QUINTANILLA-VICTOR--</t>
  </si>
  <si>
    <t>UPIS</t>
  </si>
  <si>
    <t>QUISPE-CCAMA--JUANA</t>
  </si>
  <si>
    <t>TTITO-DE-HUANCA---VICENTINA</t>
  </si>
  <si>
    <t>URB--UPIS-LT-9-IZCUCHACA</t>
  </si>
  <si>
    <t>QUISPE-ORCCOSUPA-ALEJANDRO</t>
  </si>
  <si>
    <t>UPIS-IZCUCHACA</t>
  </si>
  <si>
    <t>FERRO-GUILLEN--ZORAIDA</t>
  </si>
  <si>
    <t>CA020149</t>
  </si>
  <si>
    <t>PLAZA-CIVICA-S-N-ANTA</t>
  </si>
  <si>
    <t>HUALLPARIMACHI-VDA-DE-VARGAS--</t>
  </si>
  <si>
    <t>URB-NUEVA-ANTA</t>
  </si>
  <si>
    <t>JORDAN-M-VALVINO</t>
  </si>
  <si>
    <t>URB-NUEVA-ANTA-S-N</t>
  </si>
  <si>
    <t>MAESTRANZA-MUNICIPAL-</t>
  </si>
  <si>
    <t>URB--NUEVA-ANTA</t>
  </si>
  <si>
    <t>MUNICIPALIDAD-PROV---ANTA</t>
  </si>
  <si>
    <t>NUEVA-ANTA---S-N</t>
  </si>
  <si>
    <t>REYES-HUAMAN--ANGELICA</t>
  </si>
  <si>
    <t>C-C--ANANSAYA-URINSAYA-CCOLLAN</t>
  </si>
  <si>
    <t>ARRIAGA--AUPAC--LUIS-ALBERTO</t>
  </si>
  <si>
    <t>URB--NUEVA-ANTA-LOTE-05-J-1</t>
  </si>
  <si>
    <t>CHAINA-J--VALENTIN</t>
  </si>
  <si>
    <t>NUEVA-ANTA</t>
  </si>
  <si>
    <t>CCAHUA-JANAMPA--ESTANISLAO</t>
  </si>
  <si>
    <t>URB-ANTA-MZ-A--LT13</t>
  </si>
  <si>
    <t>CA020200</t>
  </si>
  <si>
    <t>HUALLPARIMACHI-CCOLLATUPA--JUL</t>
  </si>
  <si>
    <t>NUEVA-ANTA-IZCUCHACA</t>
  </si>
  <si>
    <t>RODRIGUEZ-VARGAS--MARGARITA</t>
  </si>
  <si>
    <t>URB-NUEVA--ANTA-F-14---ANTA</t>
  </si>
  <si>
    <t>GONGORA-AUCCA--HONORIO</t>
  </si>
  <si>
    <t>BACA-HUILLCACURI--ROLANDO</t>
  </si>
  <si>
    <t>AV--JAQUIJAHUANA-T-2</t>
  </si>
  <si>
    <t>N-E--CAMPO--FERIAL-CHIMPAHUAYL</t>
  </si>
  <si>
    <t>CAMPO-FERIAL-CHINPAHUAYLLA-NUE</t>
  </si>
  <si>
    <t>MCDO-FERIAL-CHIMPAHUAYLLA</t>
  </si>
  <si>
    <t>PROLG--JAQUIJAHUANA-ESTE</t>
  </si>
  <si>
    <t>HUAMAN-DE-LEVA--SEGUNDINA</t>
  </si>
  <si>
    <t>NUEVA-ANTA-P-11</t>
  </si>
  <si>
    <t>VARGAS-FUENTES--ANASTACIO</t>
  </si>
  <si>
    <t>FERRO-SURCO-FELIX</t>
  </si>
  <si>
    <t>URB-NUEVA-ANTA-I-3-IZCUCH</t>
  </si>
  <si>
    <t>MUNICIPALIDAD-DE-ANTA</t>
  </si>
  <si>
    <t>MUNICIPALIDAD-PROV--DE-ANTA</t>
  </si>
  <si>
    <t>URB--NUEVA--ANTA</t>
  </si>
  <si>
    <t>CA020169</t>
  </si>
  <si>
    <t>CASTILLO-RAMOS--RUTH</t>
  </si>
  <si>
    <t>URB--NUEVA-ESPERANZA-LOTE-1</t>
  </si>
  <si>
    <t>RODRIGUEZ-CRUZ--MARITZA</t>
  </si>
  <si>
    <t>ASOCIACION-NUEVA-ESPERANZA-B--</t>
  </si>
  <si>
    <t>TENIENTE-HUILLCA--PAULINO</t>
  </si>
  <si>
    <t>LINEA-FERREA-402</t>
  </si>
  <si>
    <t>HUAMAN-CONCHA--DINA-MAGNA</t>
  </si>
  <si>
    <t>JIRON-FERROCARRIL-S-N---IZCUCH</t>
  </si>
  <si>
    <t>CURI-DE-COLLADO--ISABEL</t>
  </si>
  <si>
    <t>JR-TARAPACA-IZCUCHACA</t>
  </si>
  <si>
    <t>PAULLO-OSCCO-LUCIO</t>
  </si>
  <si>
    <t>JR-BELAUNDE---S-N</t>
  </si>
  <si>
    <t>CASTILLA-DE-SAIRE--MARIA-ASUNT</t>
  </si>
  <si>
    <t>CALLE-FERROCARRIL--IZCUCHACA-</t>
  </si>
  <si>
    <t>GALLEGOS-ESTRADA--ALEJANDRINA</t>
  </si>
  <si>
    <t>ASOCIACION-NUEVA-ESPERANZA-C--</t>
  </si>
  <si>
    <t>CA020031</t>
  </si>
  <si>
    <t>CCAPCHA-TTITO--DONATO</t>
  </si>
  <si>
    <t>URB-VIRGEN-DEL-CARMEN-TTANCARP</t>
  </si>
  <si>
    <t>CANDIA-BERROCAL--DORIS</t>
  </si>
  <si>
    <t>VIRGEN-DEL-CARMEN</t>
  </si>
  <si>
    <t>QUISPE-HUAMANI--DORA</t>
  </si>
  <si>
    <t>URB--EL-BOSQUE-T--6-MZ--A--PUC</t>
  </si>
  <si>
    <t>CA020466</t>
  </si>
  <si>
    <t>VALENCIA-BLANCO--LUIS-MIGUEL</t>
  </si>
  <si>
    <t>URB--EL-BOSQUE-B-2---PUCYURA</t>
  </si>
  <si>
    <t>URB--EL-BOSQUE</t>
  </si>
  <si>
    <t>CA020166</t>
  </si>
  <si>
    <t>HUAMAN-PINARES--ELOY</t>
  </si>
  <si>
    <t>URB-19-DE-NOVIEMBRE-POTRERO-TA</t>
  </si>
  <si>
    <t>MUNICIPALIDAD-PROVINCIAL--DE-A</t>
  </si>
  <si>
    <t>LLUSCANAY</t>
  </si>
  <si>
    <t>VILLEGAS-QUISPE--EDILBERTO</t>
  </si>
  <si>
    <t>ASOC--19-DE-NOVIEMBRE</t>
  </si>
  <si>
    <t>INFANTAS-SALGUERON--MARTHA</t>
  </si>
  <si>
    <t>C-LLUSCANAY-IZCUCHACA</t>
  </si>
  <si>
    <t>SALAS-CABRERA--GROVER-WILBERT</t>
  </si>
  <si>
    <t>AV-LOS-ANDES-LT-O-15-IZCUCHACA</t>
  </si>
  <si>
    <t>LLAMOCCA-LLAMACPONCCA--ERNESTI</t>
  </si>
  <si>
    <t>PROLG-AV--LOS-ANDES-S-N</t>
  </si>
  <si>
    <t>BEJARANO-N-CIRILO</t>
  </si>
  <si>
    <t>AV-LOS-ANDES</t>
  </si>
  <si>
    <t>VARGAS-LIMA--LUCIO</t>
  </si>
  <si>
    <t>NUEVA-IZCUCHACA-LT4-MZ-Q--A-P-</t>
  </si>
  <si>
    <t>LLAMOCCA-CHACON-JUAN</t>
  </si>
  <si>
    <t>A-P-V-LLUSCANAY-LTE-23</t>
  </si>
  <si>
    <t>RONCO-CHUTAS--RENE-VIRGILIO</t>
  </si>
  <si>
    <t>ASOCIACION-PRO-VIVIENDA-SAN-CR</t>
  </si>
  <si>
    <t>LUCAS-ESCALANTE-TIBURCIO</t>
  </si>
  <si>
    <t>COMUNIDAD-LLUSKANAY-J-4</t>
  </si>
  <si>
    <t>CA020445</t>
  </si>
  <si>
    <t>PAUCARMAYTA-CCAHUA--PLINIO-GUI</t>
  </si>
  <si>
    <t>URB--AGUSTIN-GAMARRA-PICHOC-</t>
  </si>
  <si>
    <t>LEZAMA-ACCOSTUPA--JULIA-MARIA</t>
  </si>
  <si>
    <t>MZ-K1-LT-7-NUEVA-ANTA</t>
  </si>
  <si>
    <t>TORRES-CHAI-A--ALEJANDRO</t>
  </si>
  <si>
    <t>NUEVA-ANTA-LT-17--MZ-01---ANTA</t>
  </si>
  <si>
    <t>URB--SANTA-ROSA---IZCUCHACA</t>
  </si>
  <si>
    <t>HUALLPA-HUAMAN--SADID</t>
  </si>
  <si>
    <t>URB--HOSPITAL-PAMPA---ANTA</t>
  </si>
  <si>
    <t>SIMARAURA-CHILE--ADRIAN</t>
  </si>
  <si>
    <t>PROLONGACION-JR--JUNIN-SECTOR-</t>
  </si>
  <si>
    <t>AROTAIPE-QUEHUE--DOROTEO</t>
  </si>
  <si>
    <t>URB--HOSPITALPAMPA---ANTA</t>
  </si>
  <si>
    <t>CA010047</t>
  </si>
  <si>
    <t>HUILLCA-AUGUSTO-</t>
  </si>
  <si>
    <t>MANTOCLLA---S-N</t>
  </si>
  <si>
    <t>CA010046</t>
  </si>
  <si>
    <t>PILLCO-HUILLCA--JUAN-CANCIO</t>
  </si>
  <si>
    <t>CA020001</t>
  </si>
  <si>
    <t>SANTOYO-QUISPE--INES</t>
  </si>
  <si>
    <t>ALFACANCHA-S-N-PUCYURA-</t>
  </si>
  <si>
    <t>MONTESINOS--SAMUEL</t>
  </si>
  <si>
    <t>LIMA-PUCYURA-63</t>
  </si>
  <si>
    <t>QUISPE-ARANIBAR--JULIA</t>
  </si>
  <si>
    <t>CC--AYARMACA--PUCYURA</t>
  </si>
  <si>
    <t>CA020269</t>
  </si>
  <si>
    <t>QQUECHO-LEZAMA--HONORATO</t>
  </si>
  <si>
    <t>CHAUPISUYO-31</t>
  </si>
  <si>
    <t>HUAMAN-HUAMAN--RUDECINDO</t>
  </si>
  <si>
    <t>CALLE-TAHUANTINSUYO-PUCYURA-AN</t>
  </si>
  <si>
    <t>APAZA-DE-QUISPE--JUANA</t>
  </si>
  <si>
    <t>C-C-JUAN-VELASCO-ALVARADO--PUC</t>
  </si>
  <si>
    <t>CERF-SERRANO--MODESTO-BENITO</t>
  </si>
  <si>
    <t>AV--28-DE-JULIO-MZ--E-L-1---PU</t>
  </si>
  <si>
    <t>TAPIA-FLORES--JULIO-CESAR</t>
  </si>
  <si>
    <t>ECHEVARRIA-C--VIDAL</t>
  </si>
  <si>
    <t>SAHUARAURA-HUALLPAYUNCA--DOMIN</t>
  </si>
  <si>
    <t>CALLE-28-DE-JULIO--PUCYURA</t>
  </si>
  <si>
    <t>LEZAMA-QUISPE--JOSE</t>
  </si>
  <si>
    <t>JR--TAHUANTINSUYO-PUCYURA</t>
  </si>
  <si>
    <t>QUISPIHUANCA-CCOSCCO--PAULINO</t>
  </si>
  <si>
    <t>JR--MARISCAL-GAMARRA-SN</t>
  </si>
  <si>
    <t>CHAVEZ-A--JUAN</t>
  </si>
  <si>
    <t>AV--GARCILAZO-18</t>
  </si>
  <si>
    <t>PILLCO-FLORES--AYDA</t>
  </si>
  <si>
    <t>CENTRO-POBLADO-PUCYURA-</t>
  </si>
  <si>
    <t>ZANABRIA-CC-JOSE</t>
  </si>
  <si>
    <t>GRAL-GAMARRA-PUCYURA</t>
  </si>
  <si>
    <t>QUISPE-A---GUALBERTO</t>
  </si>
  <si>
    <t>GRAL-GAMARRA-PUCYURA-17</t>
  </si>
  <si>
    <t>FLOREZ-CAZORLA--NICACIO</t>
  </si>
  <si>
    <t>C-C-JUAN-VELASCO-ALVARADO---PU</t>
  </si>
  <si>
    <t>QUISPITUPAC-ZUNIGA--PIO</t>
  </si>
  <si>
    <t>CALLE-ALFONZO-UGARTE-S-N--PUCY</t>
  </si>
  <si>
    <t>CHACCACANTA-QUISPE--LUCIA</t>
  </si>
  <si>
    <t>PUCYURA-TOYUNT--25</t>
  </si>
  <si>
    <t>CERF-MORALES--MOISES</t>
  </si>
  <si>
    <t>JIRON-SAN-SALVADOR-PUCYURA</t>
  </si>
  <si>
    <t>QQUELLON--HERMOZA--AURELIA</t>
  </si>
  <si>
    <t>JR--AYARMACA--LT-6-MZ-S-PUCYUR</t>
  </si>
  <si>
    <t>CCOLOMA-HUAMAN-VDA--DE-HUILLCA</t>
  </si>
  <si>
    <t>CALLE-ROSARIO--PUCYURA</t>
  </si>
  <si>
    <t>APAZA-HUAMAN-MARIANO</t>
  </si>
  <si>
    <t>JR-CHAUPISUYO-PUCYURA</t>
  </si>
  <si>
    <t>CA020433</t>
  </si>
  <si>
    <t>POLICIA-NACIONAL-DEL-PERU</t>
  </si>
  <si>
    <t>REYES-CAZORLA--MARIO-JORGE</t>
  </si>
  <si>
    <t>JR--ROSARIO-PUCYURA</t>
  </si>
  <si>
    <t>CASTRO-C--ESTELA</t>
  </si>
  <si>
    <t>APAZA-PAREDES--PAMELA</t>
  </si>
  <si>
    <t>INVERSIONES-MEGAQUALITY-S-R-L-</t>
  </si>
  <si>
    <t>PUCYURA-SECTOR-ALTOS-PAMPA--S-</t>
  </si>
  <si>
    <t>CHAMBI-PUMA--NOEMI</t>
  </si>
  <si>
    <t>PUCYURA-ANTA</t>
  </si>
  <si>
    <t>RIVAS-ARAUJO--JORGE-AMERICO</t>
  </si>
  <si>
    <t>BELLAVISTA-LT-2-2-S-N---PUCYUR</t>
  </si>
  <si>
    <t>CA020360</t>
  </si>
  <si>
    <t>MOLLEDA-OLIVERA--GREGORIO</t>
  </si>
  <si>
    <t>SECTOR-MUSCCARUMI-AYARMACA-PUC</t>
  </si>
  <si>
    <t>CA020359</t>
  </si>
  <si>
    <t>ROJAS-QUISPE--LEONCIO</t>
  </si>
  <si>
    <t>COMUNIDAD-AYARMACA-SECTOR-CHIL</t>
  </si>
  <si>
    <t>CA020029</t>
  </si>
  <si>
    <t>CARDENAS-BRAVO--MERY</t>
  </si>
  <si>
    <t>HUACHANCAY-ANTA</t>
  </si>
  <si>
    <t>MENDOZA-HUALLPA-JULIA</t>
  </si>
  <si>
    <t>HUACHANCAY---S-N</t>
  </si>
  <si>
    <t>MENDOZA-H-ALFREDO-</t>
  </si>
  <si>
    <t>HUACHANCAY</t>
  </si>
  <si>
    <t>SINCHE-GARCIA--AGUEDO</t>
  </si>
  <si>
    <t>LIGAS-GUTIERREZ--MARY--LUZ</t>
  </si>
  <si>
    <t>CC-HUACHANCAY--PUCYURA</t>
  </si>
  <si>
    <t>HUAMAN-PUMASUPA--YRINEO</t>
  </si>
  <si>
    <t>CC-PICHOC--ANTA</t>
  </si>
  <si>
    <t>QUISPE-RAMIREZ-FLORENTINO</t>
  </si>
  <si>
    <t>HUACHANCAY-PUCYURA</t>
  </si>
  <si>
    <t>CA020030</t>
  </si>
  <si>
    <t>SANTOYO-APAZA--EMITERIO</t>
  </si>
  <si>
    <t>C-C--VALLECITO-SUARAY---MOYUPA</t>
  </si>
  <si>
    <t>QUISPE-FLORENTINO</t>
  </si>
  <si>
    <t>CA020235</t>
  </si>
  <si>
    <t>SANTA-CRUZ-CONDORI-LUIS</t>
  </si>
  <si>
    <t>CCASACUNCA-ANTA</t>
  </si>
  <si>
    <t>CCAHUA-MESCCO--FLORENTINO</t>
  </si>
  <si>
    <t>C-CCASACUNCA-ANTA</t>
  </si>
  <si>
    <t>HUILLCA-MESCCO--FRANCISCO</t>
  </si>
  <si>
    <t>HUILLCA-APAZA-JOSE</t>
  </si>
  <si>
    <t>HUILLCA-APAZA--JOSE</t>
  </si>
  <si>
    <t>C-C-CCASACUNCA-S-N---ANTA</t>
  </si>
  <si>
    <t>CA020434</t>
  </si>
  <si>
    <t>FLORES-LEON--YRENE</t>
  </si>
  <si>
    <t>SECTOR-PALTAYBAMBA---PUCYURA</t>
  </si>
  <si>
    <t>ZURITE</t>
  </si>
  <si>
    <t>CA020019</t>
  </si>
  <si>
    <t>CONC-DIST-ZURITE</t>
  </si>
  <si>
    <t>PLAZA-ARMAS---S-N</t>
  </si>
  <si>
    <t>CA020017</t>
  </si>
  <si>
    <t>QUILCA-ANO--MARUJA</t>
  </si>
  <si>
    <t>UMERES-B--LUISA</t>
  </si>
  <si>
    <t>CHACON-CACHI--LUCIO-CASIMIRO</t>
  </si>
  <si>
    <t>SANTANDER-TERRAZAS--JOSE-DARIO</t>
  </si>
  <si>
    <t>CALLE-PUMACAHUA-ZURITE</t>
  </si>
  <si>
    <t>POLICIA-NACIONAL</t>
  </si>
  <si>
    <t>PLZA-ARMAS-S-N</t>
  </si>
  <si>
    <t>HUANUCO-SUCNO--CIRILO</t>
  </si>
  <si>
    <t>SAN-MARTIN-S-N</t>
  </si>
  <si>
    <t>ALVAREZ-V---MARIA</t>
  </si>
  <si>
    <t>ROBLES-GUTIERRES---JO</t>
  </si>
  <si>
    <t>CACHILENES-6</t>
  </si>
  <si>
    <t>BELLIDO-UGARTE--IGNA</t>
  </si>
  <si>
    <t>GARCILASO-S-N</t>
  </si>
  <si>
    <t>LENES-CCAHUA---LUCIA</t>
  </si>
  <si>
    <t>LIBERTAD-S-N</t>
  </si>
  <si>
    <t>CA020136</t>
  </si>
  <si>
    <t>I-S-T-E-ZURITE--ANTA</t>
  </si>
  <si>
    <t>ANDINOINDUSTRIAS-S-A-C-</t>
  </si>
  <si>
    <t>CALLE-KENEDY-S-N-SECTOR-LLIMPY</t>
  </si>
  <si>
    <t>ANDINO-INDUSTRIAS-S-A-C-</t>
  </si>
  <si>
    <t>SECTOR-LLIMPHY-VALLE-VILCANOTA</t>
  </si>
  <si>
    <t>MEDINA-NU-EZ-DE-LA-TORRE--HUGO</t>
  </si>
  <si>
    <t>STA-BARBARA---S-N</t>
  </si>
  <si>
    <t>MEDINA-USCAMAITA--MARISOL</t>
  </si>
  <si>
    <t>SANTA-BARBARA-SCTR--CCOLQUEMAC</t>
  </si>
  <si>
    <t>MEDINA-USCAMAYTA--MARISOL</t>
  </si>
  <si>
    <t>SANTA-BARBARA-S-N</t>
  </si>
  <si>
    <t>MAMANI-CHUE--LUJANA</t>
  </si>
  <si>
    <t>SANTA-BARBARA-ZURITE</t>
  </si>
  <si>
    <t>CA010050</t>
  </si>
  <si>
    <t>ARRIAGA-HUALLPA--OCTAVIA</t>
  </si>
  <si>
    <t>COMPONE</t>
  </si>
  <si>
    <t>HUAMAN-CHILE--JERONIMO</t>
  </si>
  <si>
    <t>CHAPARRO-K---CARLOS</t>
  </si>
  <si>
    <t>CA010049</t>
  </si>
  <si>
    <t>HUANACO--ROSA-</t>
  </si>
  <si>
    <t>COMPONE-S-N</t>
  </si>
  <si>
    <t>HUALLPARIMACHI-COSTILLO--LUCY</t>
  </si>
  <si>
    <t>C-C--COMPONE---ANTA</t>
  </si>
  <si>
    <t>CHILE-CCORIHUAMAN--JUAN</t>
  </si>
  <si>
    <t>CHILE-QUISPE--CEFERINO</t>
  </si>
  <si>
    <t>C-ALLE--LA-FLORIDA--COMPONE-AN</t>
  </si>
  <si>
    <t>CUSIRIMAY-HUALLPARIMACHE--ANGE</t>
  </si>
  <si>
    <t>CABRERA--SUSANA-</t>
  </si>
  <si>
    <t>HUALLPARIMACHI-ZU-IGA--JESUS</t>
  </si>
  <si>
    <t>SECTOR-CHANQUILCHACA---COMPONE</t>
  </si>
  <si>
    <t>CA010157</t>
  </si>
  <si>
    <t>HUAMANI-HUALLPARIMACHI--ANCELM</t>
  </si>
  <si>
    <t>CC-COMPONE-ANEXO-URB--LOS-LICE</t>
  </si>
  <si>
    <t>HUAMAN-VILLAVICENCIO--ISIDORA</t>
  </si>
  <si>
    <t>CC-COMPONE-ANTA</t>
  </si>
  <si>
    <t>HUAMAN-H--ISIDRO</t>
  </si>
  <si>
    <t>HUAMANI-H---ANSELMO</t>
  </si>
  <si>
    <t>CA010170</t>
  </si>
  <si>
    <t>MORANTE-DE-CHAPARRO--HAYDEE-ME</t>
  </si>
  <si>
    <t>PLANTA-ASFALTO-</t>
  </si>
  <si>
    <t>SAN-ISIDRO-COMPONE</t>
  </si>
  <si>
    <t>CA010171</t>
  </si>
  <si>
    <t>LOPEZ-ANO--HILARIO</t>
  </si>
  <si>
    <t>YANAMA</t>
  </si>
  <si>
    <t>TUMPAY--CHACON--GERVACIO</t>
  </si>
  <si>
    <t>C-C-YANAMA---ZURITE</t>
  </si>
  <si>
    <t>LOPEZ-A-O--PASCUAL</t>
  </si>
  <si>
    <t>C-C--YANAMA--ZURITE</t>
  </si>
  <si>
    <t>CA010172</t>
  </si>
  <si>
    <t>PERCCA-HANCCO---SERAPIO</t>
  </si>
  <si>
    <t>SALON-COMUNAL-YANAMA</t>
  </si>
  <si>
    <t>YANAMA-ZURITE</t>
  </si>
  <si>
    <t>HUAMANTALLA-CCCORIHUAMAN--FLOR</t>
  </si>
  <si>
    <t>BA-ARES-CANDIA--JUVENAL</t>
  </si>
  <si>
    <t>JOYA-PAMPA-YANAMA</t>
  </si>
  <si>
    <t>CHAHUIN-QUISPE--NATIVIDAD</t>
  </si>
  <si>
    <t>CHAVEZ-PEREZ--MARCELINO</t>
  </si>
  <si>
    <t>C-C-YANAMA-DE-AYLLUMAYO-PREDIO</t>
  </si>
  <si>
    <t>CA010051</t>
  </si>
  <si>
    <t>TUMPAY-CHACON--GERVACIO</t>
  </si>
  <si>
    <t>SECTOR-HUAYLLACCOLLO-YANAMA-ZU</t>
  </si>
  <si>
    <t>CCORIHUAMAN-LOPEZ--HERNAN</t>
  </si>
  <si>
    <t>C-C-CURAMBA-SECTOR-CENTRO</t>
  </si>
  <si>
    <t>CA010056</t>
  </si>
  <si>
    <t>SILVA-COAVOY--DELIA-ROSEMARY</t>
  </si>
  <si>
    <t>C-C-KATA-IRAY-CUYOCHACA-ANCAHU</t>
  </si>
  <si>
    <t>PEREA-PORROA--ADELAIDA</t>
  </si>
  <si>
    <t>C-C--KATA-IRAY--SECTOR-HERAPAM</t>
  </si>
  <si>
    <t>CASTILLO-RAMOS--MARIANO</t>
  </si>
  <si>
    <t>KATANIRAY---S-N</t>
  </si>
  <si>
    <t>ACHANCCARAY-LENES--SEFERINO</t>
  </si>
  <si>
    <t>HUILLCA-FLORES--MARIANO</t>
  </si>
  <si>
    <t>VILLALOBOS-BRAVO--LUIS</t>
  </si>
  <si>
    <t>C-C--KATA-IRAY--ANCAHUASI</t>
  </si>
  <si>
    <t>BA-AREZ-SOLIS--VERIGINIA</t>
  </si>
  <si>
    <t>C-C-KATA-IRAY-SECTOR-MOYOCCOCH</t>
  </si>
  <si>
    <t>HUARANCA-C-RAMOSA</t>
  </si>
  <si>
    <t>VILLAVICENCIO-HUAMAN--JUAN-BAU</t>
  </si>
  <si>
    <t>HUANCA-ASARPAY--JUAN-CANCIO</t>
  </si>
  <si>
    <t>HUAMANTALLA-ANTONIO---</t>
  </si>
  <si>
    <t>CA010626</t>
  </si>
  <si>
    <t>ALVAREZ-MAYTA--WILFREDO</t>
  </si>
  <si>
    <t>SECTRO-JAMACTAY-LA-JOYA--KATAN</t>
  </si>
  <si>
    <t>CASTILLO-HUILLCA--JOSE</t>
  </si>
  <si>
    <t>CA010620</t>
  </si>
  <si>
    <t>HILARES-PORROA--IRENE</t>
  </si>
  <si>
    <t>PEREA-PORROA--ANDRES</t>
  </si>
  <si>
    <t>C-C-KATA-IRAY---ANCAHUASI-</t>
  </si>
  <si>
    <t>PEREA-R-ADRIEL</t>
  </si>
  <si>
    <t>PORROA-GUEVARA--MARIANO</t>
  </si>
  <si>
    <t>CA010055</t>
  </si>
  <si>
    <t>MEZA-DIAZ--PABLO</t>
  </si>
  <si>
    <t>HUAMANCCARI-FAUSTINA</t>
  </si>
  <si>
    <t>CA010621</t>
  </si>
  <si>
    <t>FARFAN-SOTELO--EVANGELINO-</t>
  </si>
  <si>
    <t>CC-KATANIRAY-ANCAHUASI-</t>
  </si>
  <si>
    <t>CA010054</t>
  </si>
  <si>
    <t>SUTA-P-ALEJANDRO</t>
  </si>
  <si>
    <t>SOTTA-ALVAREZ--BALTAZAR</t>
  </si>
  <si>
    <t>C-C-KATA-IRAY-SECTOR-ERAPAMPA-</t>
  </si>
  <si>
    <t>CA010500</t>
  </si>
  <si>
    <t>CASTILLO-MEZA--MARTHA</t>
  </si>
  <si>
    <t>ASARPAY-DE-HUANCA--SABINA</t>
  </si>
  <si>
    <t>CA010499</t>
  </si>
  <si>
    <t>CASTILLO-TUCO--MARTHA</t>
  </si>
  <si>
    <t>CA020042</t>
  </si>
  <si>
    <t>CALVO-CARRION--JULIAN</t>
  </si>
  <si>
    <t>COMUNID-T-REAL-S-N</t>
  </si>
  <si>
    <t>USUCACHI-Q-MIGUEL</t>
  </si>
  <si>
    <t>PACCOCHUCO-HUAMANTALLA--RAYMUN</t>
  </si>
  <si>
    <t>HUAMANTALLA-P-JUAN</t>
  </si>
  <si>
    <t>HUAMANTALLA-P-CARMEL</t>
  </si>
  <si>
    <t>CA020040</t>
  </si>
  <si>
    <t>PFUYO-HUARI--TOMAS</t>
  </si>
  <si>
    <t>MAYUHUAILLA---S-N</t>
  </si>
  <si>
    <t>CHAUCA-QUISPE-MARIAN</t>
  </si>
  <si>
    <t>CA020103</t>
  </si>
  <si>
    <t>ALVARO-HACHAYA--IGNACIO</t>
  </si>
  <si>
    <t>ANCACHURO</t>
  </si>
  <si>
    <t>COMUNIDAD-S---NICOLAS</t>
  </si>
  <si>
    <t>CAPILLA-ANEXO--ANCACHURO</t>
  </si>
  <si>
    <t>C-C--SAN-NICOLAS-DE-BARI-ANEXO</t>
  </si>
  <si>
    <t>ALVARO-PACCOCHUCO--EVANGELINA</t>
  </si>
  <si>
    <t>C-C-SAN-NICOLAS-DE-BARI-ANEXO-</t>
  </si>
  <si>
    <t>CA020367</t>
  </si>
  <si>
    <t>QUISPE-CHILE-JUSTO</t>
  </si>
  <si>
    <t>C-C-SAN-MARCO-ZURITE</t>
  </si>
  <si>
    <t>OROSCO-ROCCA--YSIDORO</t>
  </si>
  <si>
    <t>C-C--SAN-MARCOS-ZURITE</t>
  </si>
  <si>
    <t>HUAMAN-HUANCCOLLUCHO-ANDRES</t>
  </si>
  <si>
    <t>CA010082</t>
  </si>
  <si>
    <t>OSORIO-PEREZ-SANTUSA</t>
  </si>
  <si>
    <t>CHINLLAHUACHO-LIMATAMBO</t>
  </si>
  <si>
    <t>CA010226</t>
  </si>
  <si>
    <t>PUCYURA-HUARI-AURELIO</t>
  </si>
  <si>
    <t>CHACLLANCA-LIMATAMBO</t>
  </si>
  <si>
    <t>CA010225</t>
  </si>
  <si>
    <t>PACHECO-SAMATA--CECILIO</t>
  </si>
  <si>
    <t>PARIGUANA-GAMARRA--FLORENTINO</t>
  </si>
  <si>
    <t>HUAMAN-LOPEZ-ZACARIAS</t>
  </si>
  <si>
    <t>PUCYURA-PACHECO-MODESTO</t>
  </si>
  <si>
    <t>CHACLLANCA</t>
  </si>
  <si>
    <t>CA010083</t>
  </si>
  <si>
    <t>CRUZ-QUISPE--NARCISO</t>
  </si>
  <si>
    <t>TAMBOHUILLCA</t>
  </si>
  <si>
    <t>TTITO-QUISPE--ADELEIDO</t>
  </si>
  <si>
    <t>C-C-PAMPACONGA-SECTOR-TAMBOHUI</t>
  </si>
  <si>
    <t>CA010087</t>
  </si>
  <si>
    <t>PUCYURA-VARGAS--FRANCISCO</t>
  </si>
  <si>
    <t>HUERTAHUAYCCO</t>
  </si>
  <si>
    <t>ANO-HUAMAN--GUILLERMO</t>
  </si>
  <si>
    <t>CA010081</t>
  </si>
  <si>
    <t>ESPINOZA-H-MARIANO-</t>
  </si>
  <si>
    <t>AYAVIRI</t>
  </si>
  <si>
    <t>CA010416</t>
  </si>
  <si>
    <t>PINTO-HUAMAN--MODESTO</t>
  </si>
  <si>
    <t>C-C--NINAMANCHI----CHALLABAMBA</t>
  </si>
  <si>
    <t>CA010084</t>
  </si>
  <si>
    <t>HUAMAN-TTITO--NARCISO</t>
  </si>
  <si>
    <t>PAMPACONGA</t>
  </si>
  <si>
    <t>MUNICIPALIDAD-DISTRITAL-DE-LIM</t>
  </si>
  <si>
    <t>PAMPACONGA-S-N</t>
  </si>
  <si>
    <t>TAPIA-M--MARIANO</t>
  </si>
  <si>
    <t>QUISPE-A-CLAUDIO</t>
  </si>
  <si>
    <t>AN010085</t>
  </si>
  <si>
    <t>SALON-COMUNAL</t>
  </si>
  <si>
    <t>CARDONPATA-LIMATAMBO</t>
  </si>
  <si>
    <t>HUAMAN-HUAMANCCARI--JOSE</t>
  </si>
  <si>
    <t>CARDOMPATA-S-N</t>
  </si>
  <si>
    <t>AN010086</t>
  </si>
  <si>
    <t>QUISPE-CARTA---JULIO</t>
  </si>
  <si>
    <t>NINAMANCHI</t>
  </si>
  <si>
    <t>CA010639</t>
  </si>
  <si>
    <t>QUISPE-GIL---NESTOR</t>
  </si>
  <si>
    <t>CA010497</t>
  </si>
  <si>
    <t>LOAYZA-UMERES--LEONCIO</t>
  </si>
  <si>
    <t>C-C-NINAMANCHI-LIMATAMBO</t>
  </si>
  <si>
    <t>PALOMINO-FANOLA-DE-ZU-IGA--AND</t>
  </si>
  <si>
    <t>CASTRO-CRUZ--BASILIO</t>
  </si>
  <si>
    <t>ENRIQUEZ-PALOMINO--LUCIO</t>
  </si>
  <si>
    <t>CA010291</t>
  </si>
  <si>
    <t>CHAMPI-CRUZ-WALTER</t>
  </si>
  <si>
    <t>NINAMAMCHI-LIMATAMBO</t>
  </si>
  <si>
    <t>CASTRO-CRUZ--FRANCISCO</t>
  </si>
  <si>
    <t>ENRIQUEZ-PALOMINO-VICTOR</t>
  </si>
  <si>
    <t>NINAMANCHI-LIMATAMBO</t>
  </si>
  <si>
    <t>CHAMPI-QUISPE--PABLO</t>
  </si>
  <si>
    <t>CA010384</t>
  </si>
  <si>
    <t>CASTILLA-LEON--ARNEB</t>
  </si>
  <si>
    <t>PANAMERICANA-CUSCO-LIMA-KM-78-</t>
  </si>
  <si>
    <t>DELGADO-ANDRADE--AQUILES</t>
  </si>
  <si>
    <t>CA010118</t>
  </si>
  <si>
    <t>UGARTE-ESCOBAR--DORA</t>
  </si>
  <si>
    <t>CA010119</t>
  </si>
  <si>
    <t>ZAVALA-CHILE--TOMAS</t>
  </si>
  <si>
    <t>GARZON-CARO--CAROLINA</t>
  </si>
  <si>
    <t>AV--PRINCIPAL-CUSCO-ABANCAY---</t>
  </si>
  <si>
    <t>HUACAC-HUACAC--ESTHER</t>
  </si>
  <si>
    <t>SECTOR-RIOJA--LIMATAMBO</t>
  </si>
  <si>
    <t>MANCILLA-LOROTUPA--MARIA-MAGDA</t>
  </si>
  <si>
    <t>CHAUSPI-SANTOS-</t>
  </si>
  <si>
    <t>GONZALES-GAMARRA-ALEJANDRINA</t>
  </si>
  <si>
    <t>LIMATAMBO-PISTA</t>
  </si>
  <si>
    <t>CA010295</t>
  </si>
  <si>
    <t>CARO-PACHECO-VICENTINA</t>
  </si>
  <si>
    <t>RIOJA-BAJA-LIMATAMBO</t>
  </si>
  <si>
    <t>ZUNIGA-DAMIAN</t>
  </si>
  <si>
    <t>ZEGARRA-DE--CRUZ-URBANA</t>
  </si>
  <si>
    <t>LIMATAMBO-PISTA-PRINCIPAL</t>
  </si>
  <si>
    <t>SALDIVAR-ESTRADA--RUPERTO</t>
  </si>
  <si>
    <t>SECTOR-DE-RIOJA-LIMATAMBO</t>
  </si>
  <si>
    <t>HUANTO-ALAGON--MARGHOZ</t>
  </si>
  <si>
    <t>MENACHO-CHACON--FLORENTINO</t>
  </si>
  <si>
    <t>SECTOR-BADEN-LIMATAMBO</t>
  </si>
  <si>
    <t>CA010296</t>
  </si>
  <si>
    <t>HERRERA-BAES-JORGE</t>
  </si>
  <si>
    <t>CA010464</t>
  </si>
  <si>
    <t>HUAMAN-HUAMAN--MANUEL</t>
  </si>
  <si>
    <t>CHINCHAYBAMBA-LIMATAMBO</t>
  </si>
  <si>
    <t>OSCAPI-ALVAREZ--TIBURCIO</t>
  </si>
  <si>
    <t>ZUNIGA-LEVA--VALENTIN</t>
  </si>
  <si>
    <t>CA010305</t>
  </si>
  <si>
    <t>MEZA-ALVAREZ--MIGUEL-ANGEL</t>
  </si>
  <si>
    <t>SAUCEDA-LIMATAMBO</t>
  </si>
  <si>
    <t>WIESSE-MUJICA--DARWIN-ANTONIO</t>
  </si>
  <si>
    <t>SAUCEDA----LIMATAMBO-</t>
  </si>
  <si>
    <t>QUISPE-ANCCO-FELOMENO</t>
  </si>
  <si>
    <t>CA010299</t>
  </si>
  <si>
    <t>FERNANDEZ-CANAL-FEDERICO</t>
  </si>
  <si>
    <t>URACA-LIMATAMBO</t>
  </si>
  <si>
    <t>BACA-GONZALES--ALBERTO</t>
  </si>
  <si>
    <t>C-C--URACA--LIMATAMBO</t>
  </si>
  <si>
    <t>FERNANDEZ-MENDOZA--ANCELMO</t>
  </si>
  <si>
    <t>URACA---LIMATAMBO</t>
  </si>
  <si>
    <t>CA010300</t>
  </si>
  <si>
    <t>VARGAS-SARMIENTO--RICARDO</t>
  </si>
  <si>
    <t>CHONTA-LIMATAMBO</t>
  </si>
  <si>
    <t>CA010106</t>
  </si>
  <si>
    <t>QUITO-CH-CESAREO-</t>
  </si>
  <si>
    <t>TARAHUASI</t>
  </si>
  <si>
    <t>CA010457</t>
  </si>
  <si>
    <t>ALVAREZ-CAHUANA--PATRICIO</t>
  </si>
  <si>
    <t>C-C-URACA-LIMATAMBO</t>
  </si>
  <si>
    <t>PANAMERICANO-RIVERO-</t>
  </si>
  <si>
    <t>YERBABUENAYOC</t>
  </si>
  <si>
    <t>PINTO-ALMANZA--WILBERT-RAUL</t>
  </si>
  <si>
    <t>SECTOR-DE-YERBABUANAYOC---LIMA</t>
  </si>
  <si>
    <t>HUAMAN-FELIX-</t>
  </si>
  <si>
    <t>ARAOZ-VILLASANTE--DAVID</t>
  </si>
  <si>
    <t>ALFARO-PACHECO--ISAAC</t>
  </si>
  <si>
    <t>C-C-SONDORF--MOLINO-PATA-LIMAT</t>
  </si>
  <si>
    <t>CA010285</t>
  </si>
  <si>
    <t>MAYNICTA-LEON--DANIEL</t>
  </si>
  <si>
    <t>C-C--TOMACAYA-LIMATAMBO</t>
  </si>
  <si>
    <t>CA010287</t>
  </si>
  <si>
    <t>VALER-ZAMALLOA--ADRIEL</t>
  </si>
  <si>
    <t>MISQUIYACU-LIMATAMBO</t>
  </si>
  <si>
    <t>GALEANO-QUISPE--ELIAS</t>
  </si>
  <si>
    <t>C-C--MISQUIYACO-SECTOR-TTOCOPA</t>
  </si>
  <si>
    <t>MOLLEPATA</t>
  </si>
  <si>
    <t>CA010120</t>
  </si>
  <si>
    <t>RODRIGUEZ-ZEGARRA--ANTONIO-D-</t>
  </si>
  <si>
    <t>SIERRA-MARIN--MARITZA</t>
  </si>
  <si>
    <t>CENTRO-POBLADO-MOLLEPATA-A---1</t>
  </si>
  <si>
    <t>TAGUADA-DAVALOS--BRAULIA</t>
  </si>
  <si>
    <t>CALLE-AYACUCHO-MOLLEPATA</t>
  </si>
  <si>
    <t>BACA-A-PLACIDO-</t>
  </si>
  <si>
    <t>PEREZ-P-EVA</t>
  </si>
  <si>
    <t>CHACON-MONCADA--TEOFILO</t>
  </si>
  <si>
    <t>MISION-CRISTIANA-SUR-ANDINA</t>
  </si>
  <si>
    <t>CALLE-LIMACPAMPA-MZ--A--LT-6-M</t>
  </si>
  <si>
    <t>SOLORZANO-DE-LA-CRUZ--BELARMIN</t>
  </si>
  <si>
    <t>BACA-CHICLLA-SIMEON</t>
  </si>
  <si>
    <t>CALLE-LIMACPAMPA-MOLLEPAT</t>
  </si>
  <si>
    <t>SOTELO-DAVALOS--VALERIO</t>
  </si>
  <si>
    <t>CHAVEZ-ESTRADA--MARCOS-TIMOTEO</t>
  </si>
  <si>
    <t>AV-ABANCAY-S-N-MOLLEPATA</t>
  </si>
  <si>
    <t>CA010121</t>
  </si>
  <si>
    <t>DELGADO-O-IGNACIO</t>
  </si>
  <si>
    <t>POLICIA-NACIONAL-M-</t>
  </si>
  <si>
    <t>GARCIA-PEREZ-NELY</t>
  </si>
  <si>
    <t>SILVA-QUISPE--OCTAVIO</t>
  </si>
  <si>
    <t>SIERRA-P--VICTORIANO</t>
  </si>
  <si>
    <t>A-ANCA-MENDOZA--MARIO</t>
  </si>
  <si>
    <t>SOTELO-ALMIRON--MARINA</t>
  </si>
  <si>
    <t>CALLE-AYACUCHO-S-N-MOLLEPATA</t>
  </si>
  <si>
    <t>DELGADO-PINEDO--SIMON</t>
  </si>
  <si>
    <t>CALLE-AMARGURA-SN-MOLLEPATA</t>
  </si>
  <si>
    <t>DELGADO-TORRES-FELIPA</t>
  </si>
  <si>
    <t>SANTIAGO-PUPUJA-MOLLEPATA</t>
  </si>
  <si>
    <t>CA010173</t>
  </si>
  <si>
    <t>GARCIA-PEREZ--NELLY</t>
  </si>
  <si>
    <t>QUINTANA-LOAYZA--GREGORIO</t>
  </si>
  <si>
    <t>URB--AYARMA--F-10--MOLLEPATA</t>
  </si>
  <si>
    <t>VEGA-MAMANI--FELICITAS</t>
  </si>
  <si>
    <t>AYARMA</t>
  </si>
  <si>
    <t>ANAYA-CHACON--ELSA</t>
  </si>
  <si>
    <t>CASTILLO-PALOMINO--GRIMALDO</t>
  </si>
  <si>
    <t>CA010290</t>
  </si>
  <si>
    <t>CARRERA-PALAO--MARTHA--CECILIA</t>
  </si>
  <si>
    <t>PAROBAMBA-MOLLEPATA</t>
  </si>
  <si>
    <t>CA010174</t>
  </si>
  <si>
    <t>PALOMINO-DE-WIESSE--NORY-LILIA</t>
  </si>
  <si>
    <t>MARCAHUASI---MOLLEPATA</t>
  </si>
  <si>
    <t>PINARES-TTITO-BRAULIO</t>
  </si>
  <si>
    <t>MARCAHUASI</t>
  </si>
  <si>
    <t>ALMANZA-ESTACIO--RICHARD</t>
  </si>
  <si>
    <t>SECTOR-MARCAHUASI-68-A-VALLE-C</t>
  </si>
  <si>
    <t>BOCANGEL-MOREANO--JUAN-CARLOS</t>
  </si>
  <si>
    <t>BORDA-NU-EZ--LUCIO</t>
  </si>
  <si>
    <t>PINARES-RAMOS--FRANCISCO-LUIS</t>
  </si>
  <si>
    <t>SEGOVIA-RUIZ--ELIAS</t>
  </si>
  <si>
    <t>MIRADOR---MARCAHUASI---MOLLEPA</t>
  </si>
  <si>
    <t>CA010450</t>
  </si>
  <si>
    <t>MONZON-VASQUEZ--HERNAN-WILFRED</t>
  </si>
  <si>
    <t>MARCAHUASI---PLAYA-SISAL</t>
  </si>
  <si>
    <t>LISARAZO-CABRERA--FERRER</t>
  </si>
  <si>
    <t>MARCAHUASI-PLAYA-SISAL-2A-MOLL</t>
  </si>
  <si>
    <t>CA010105</t>
  </si>
  <si>
    <t>MANSILLA-LOROTUPA--HOLGA</t>
  </si>
  <si>
    <t>RONCOHUASI-C-C--PAMPACONGA--LI</t>
  </si>
  <si>
    <t>CASA-COMUNAL--FLORIDA</t>
  </si>
  <si>
    <t>FLORIDA</t>
  </si>
  <si>
    <t>CA010177</t>
  </si>
  <si>
    <t>ISLACHIN-GARCIA--JUAN-CARLOS</t>
  </si>
  <si>
    <t>SECTOR-AUQUIORCCO-MOLLEPATA</t>
  </si>
  <si>
    <t>CA010176</t>
  </si>
  <si>
    <t>HURTADO-CARRASCO--RODOLFO</t>
  </si>
  <si>
    <t>C-C--AUQUIORCO-MOLLEPATA</t>
  </si>
  <si>
    <t>ESTRADA-PAZ--CARLOS</t>
  </si>
  <si>
    <t>C-C-HUAMANPATA---MOLLEPATA-</t>
  </si>
  <si>
    <t>FLORES-ESTRADA--DARIO</t>
  </si>
  <si>
    <t>HUAMANPATA</t>
  </si>
  <si>
    <t>MONCADA-ESTRADA--LUIS-ALBERTO</t>
  </si>
  <si>
    <t>C-C-HUAMANPATA-S-N--MOLLEPATA</t>
  </si>
  <si>
    <t>CA010361</t>
  </si>
  <si>
    <t>COMITE--DE-PRODUCCION---HUAMAN</t>
  </si>
  <si>
    <t>SECTOR-CRUZ-MOCCO-HUAMANPATA</t>
  </si>
  <si>
    <t>CA010179</t>
  </si>
  <si>
    <t>VELASCO-CABRERA--BERNABE</t>
  </si>
  <si>
    <t>STGO--PUPUJA</t>
  </si>
  <si>
    <t>CA010180</t>
  </si>
  <si>
    <t>CASTILLO-PALOMINO-JUAN-DE-DIOS</t>
  </si>
  <si>
    <t>BACA-CHICLLA--SIMEON</t>
  </si>
  <si>
    <t>CA010190</t>
  </si>
  <si>
    <t>CASIANO-SALAS--FIDEL</t>
  </si>
  <si>
    <t>CHIRIBAMBA</t>
  </si>
  <si>
    <t>CA010191</t>
  </si>
  <si>
    <t>CHAVEZ-AIQUIPA-FORTUNATO</t>
  </si>
  <si>
    <t>RETIRO</t>
  </si>
  <si>
    <t>CA010448</t>
  </si>
  <si>
    <t>TEJADA-CALIZAYA--GONZALO</t>
  </si>
  <si>
    <t>SECTOR-BELLAVISTA--MOLLEPATA--</t>
  </si>
  <si>
    <t>RUIZ-ZAPANA--LUCAS</t>
  </si>
  <si>
    <t>SECTOR-BELLAVISTA--ANTA</t>
  </si>
  <si>
    <t>TEJADA-RUIZ--REMILL-ANDRE</t>
  </si>
  <si>
    <t>SECTOR-BELLAVISTA---MOLLEPATA-</t>
  </si>
  <si>
    <t>ASPABE---MOLLEPATA</t>
  </si>
  <si>
    <t>TEJADA-RUIZ--SAUL-NOLBERTO</t>
  </si>
  <si>
    <t>CHINCHERO</t>
  </si>
  <si>
    <t>CA030126</t>
  </si>
  <si>
    <t>ACHAHUI-A---AGUSTIN</t>
  </si>
  <si>
    <t>GARCILASO</t>
  </si>
  <si>
    <t>AYMA-AUCCAPUMA--KENNIN-NADIA</t>
  </si>
  <si>
    <t>PACHAPUGIO--CALLE-CONQUISTA--C</t>
  </si>
  <si>
    <t>QUISPE-AGUIRRE--SANTOS-ABEL</t>
  </si>
  <si>
    <t>CALLE-CONQUISTA-CHINCHERO</t>
  </si>
  <si>
    <t>CA030123</t>
  </si>
  <si>
    <t>CALLANAUPA-MANUEL-</t>
  </si>
  <si>
    <t>GARCILAZO---S-N</t>
  </si>
  <si>
    <t>MORALES-CACERES--MAGDA-I-</t>
  </si>
  <si>
    <t>CALLANAUPA-Q--NICOMEDES</t>
  </si>
  <si>
    <t>SECTOR-CCAMU</t>
  </si>
  <si>
    <t>AUCCAPUMA-SALLO--JUANA-LUZ-</t>
  </si>
  <si>
    <t>LT-12--MZ-P2---CHINCHERO-</t>
  </si>
  <si>
    <t>MUNICIPALIDAD-DISTRITAL-DE-CHI</t>
  </si>
  <si>
    <t>CALLE-ALBERGUE-SN--CHINCHERO</t>
  </si>
  <si>
    <t>HUANCA-SINGONA--IGNACIO</t>
  </si>
  <si>
    <t>SALLO--JULIO-</t>
  </si>
  <si>
    <t>CAHUIDE-CHINCHERO-S-N</t>
  </si>
  <si>
    <t>CAPILLA-SAKARARA</t>
  </si>
  <si>
    <t>SAKARARA-S-N</t>
  </si>
  <si>
    <t>QUISPE-HUILLCANINA-EMETERIO</t>
  </si>
  <si>
    <t>CAHUIDE-CHINCHERO-14</t>
  </si>
  <si>
    <t>CUSIHUAMAN-LLIHUAC--ALFREDO</t>
  </si>
  <si>
    <t>CHICHERO---MANCO-II</t>
  </si>
  <si>
    <t>PLAZA-DE-ARMAS---CHINCHER</t>
  </si>
  <si>
    <t>CA030127</t>
  </si>
  <si>
    <t>ASOCIACION-ART--PRODUCTORES-VI</t>
  </si>
  <si>
    <t>CALLE-QOLLANA---ESPA-A-LT--12-</t>
  </si>
  <si>
    <t>SINGONA-LLANCAY--JULIANA</t>
  </si>
  <si>
    <t>LOTE-3-DE-LA-MZ-G3---CHINCHERO</t>
  </si>
  <si>
    <t>PAUCCAR-CJUIRO--PABLO</t>
  </si>
  <si>
    <t>CALLE-ESPANA-S-N</t>
  </si>
  <si>
    <t>KJUIRO-QUISPE--FREDY</t>
  </si>
  <si>
    <t>CALLE-CANTUCCATA---CHINCHERO</t>
  </si>
  <si>
    <t>PUMAYALLI-QUISPE--JOAQUIN</t>
  </si>
  <si>
    <t>CUPER</t>
  </si>
  <si>
    <t>CA030088</t>
  </si>
  <si>
    <t>QUISPE-QUISPE--JACINTO</t>
  </si>
  <si>
    <t>C--YANACONA-SECTOR-QUERAPATA--</t>
  </si>
  <si>
    <t>AUCCACUSI-GUTIERREZ-RINA</t>
  </si>
  <si>
    <t>QUERAPATA</t>
  </si>
  <si>
    <t>MEJIA-HUILLCA--ABEL</t>
  </si>
  <si>
    <t>SECTOR-DE-QUERAPATA---CHINCHER</t>
  </si>
  <si>
    <t>QUISPE-AUCCACUSI--HERMITA-O</t>
  </si>
  <si>
    <t>C-C-YANACONA-SECTOR-QUERAPATA-</t>
  </si>
  <si>
    <t>USCAPI-MANACCASA--PAULINO</t>
  </si>
  <si>
    <t>SALLO-LLIHUAC--MIRIAM</t>
  </si>
  <si>
    <t>SECTOR-DE-QUERAPATA-MZ-X-LT-6-</t>
  </si>
  <si>
    <t>QUISPE-PUMAYALLI-LEONARDO</t>
  </si>
  <si>
    <t>QUERAPATA-CHINCHERO</t>
  </si>
  <si>
    <t>HUAMAN-QUILLAHUAMAN--FELICITAS</t>
  </si>
  <si>
    <t>SECTOR-QUERAPATA-MZ--U-LT--12-</t>
  </si>
  <si>
    <t>AUCCAPUMA--Q--DANIEL</t>
  </si>
  <si>
    <t>HUAMAN-QUISPE--ROCINA</t>
  </si>
  <si>
    <t>AV-MAT-PUMACCAHUA-CHINCHE</t>
  </si>
  <si>
    <t>CA030487</t>
  </si>
  <si>
    <t>MUNICIPALIDAD-DE-CHINCHERO</t>
  </si>
  <si>
    <t>C--YANACONA-CHINCHERO</t>
  </si>
  <si>
    <t>CALLANAUPA-DIONICIA-</t>
  </si>
  <si>
    <t>NUEVO-TRIUNFO-5</t>
  </si>
  <si>
    <t>PUMAYALLI-QUISPE--IGNACIO</t>
  </si>
  <si>
    <t>C-C-YANOCOMA-S-N-CHINCHERO</t>
  </si>
  <si>
    <t>C-C-YANACONA-CHINCHERO</t>
  </si>
  <si>
    <t>CUSIHUAMAN-LLIHUAC--LUZGARDO</t>
  </si>
  <si>
    <t>PROLONGACION--MATEO-PUMACCAHUA</t>
  </si>
  <si>
    <t>CA030125</t>
  </si>
  <si>
    <t>CUSICUNA-B--DAMIAN</t>
  </si>
  <si>
    <t>NUEVA-VICTORIA-S-N</t>
  </si>
  <si>
    <t>AMAU-AUCCAPUMA-EDELMIRA</t>
  </si>
  <si>
    <t>MATEO-PUMACCAHUA-CHINCHER</t>
  </si>
  <si>
    <t>PANTANI-ATAUSUPA--ANGELA</t>
  </si>
  <si>
    <t>A-V-MATEO-PUMACCAHUA-LT-7-MZ-K</t>
  </si>
  <si>
    <t>CA030451</t>
  </si>
  <si>
    <t>INQUILTUPA-CHOQQUECONZA--CAROL</t>
  </si>
  <si>
    <t>AV--MATEO-PUMACAHUA-LT--10-MZ-</t>
  </si>
  <si>
    <t>RONDAN-GRANADA--RAFAEL</t>
  </si>
  <si>
    <t>HUAMAN-CHOQUECONZA--WILFREDO</t>
  </si>
  <si>
    <t>CALLE-AMARGURA-LT--17-MZ-L4-CH</t>
  </si>
  <si>
    <t>GUADALUPE-TTITO--MARIANO</t>
  </si>
  <si>
    <t>CHINCHERO-NVA-VICTORIA</t>
  </si>
  <si>
    <t>CHOQQUE-CHOQQUECONZA--FLORENTI</t>
  </si>
  <si>
    <t>NUEVA-VICTORIA---S-N</t>
  </si>
  <si>
    <t>LETONA-GUILLEN--OVALDINA</t>
  </si>
  <si>
    <t>NUEVA-VICTORIA-CHINCHERO</t>
  </si>
  <si>
    <t>QUILLAHUAMAN-QUISPE--NELLY</t>
  </si>
  <si>
    <t>AV-MATEO-PUMACAHUA</t>
  </si>
  <si>
    <t>PAUCCAR-QUISPE--PAULINO</t>
  </si>
  <si>
    <t>CA030452</t>
  </si>
  <si>
    <t>HUILLCA-DE-MENDOZA--VICTORIA</t>
  </si>
  <si>
    <t>CALLE-HUANCARPATA-CHINCHERO</t>
  </si>
  <si>
    <t>AUCCAPUMA-CONDE--CELSA</t>
  </si>
  <si>
    <t>JR-MATEO-PUMACCAHUA-CHINCHERO</t>
  </si>
  <si>
    <t>GARCIA-SANCHEZ--GIRALDO</t>
  </si>
  <si>
    <t>AV-MATEO-PUMACAHUA-S-N</t>
  </si>
  <si>
    <t>AUCCAPUMA-CONDE--IRMA</t>
  </si>
  <si>
    <t>CALLE-MANCO-SEGUNDO-CHINCHERO-</t>
  </si>
  <si>
    <t>CA030113</t>
  </si>
  <si>
    <t>INQUILTUPA-CH-ISIDRO</t>
  </si>
  <si>
    <t>TAMBOCANCHA---S-N</t>
  </si>
  <si>
    <t>CALLA-AUPA-QUISPE--BRAULIO</t>
  </si>
  <si>
    <t>CALLE-TAMBOCANCHA--CHINCHERO</t>
  </si>
  <si>
    <t>HUAMAN-PUMASUPA-ROBERT</t>
  </si>
  <si>
    <t>AV-MATEO-PUMACAHUA-CHINCH</t>
  </si>
  <si>
    <t>HUAYLLAHUAMAN-LLANCAY--VILMA</t>
  </si>
  <si>
    <t>SECTOR-AYLLO-PONGO-B6---01-CHI</t>
  </si>
  <si>
    <t>QUISPE-HUAMAN--JUAN</t>
  </si>
  <si>
    <t>SECTOR--ALLPACHACA--CHINCHERO</t>
  </si>
  <si>
    <t>CA030065</t>
  </si>
  <si>
    <t>ROFRIGUEZ-F--CRISTOBA</t>
  </si>
  <si>
    <t>CHARAC</t>
  </si>
  <si>
    <t>QUISPE-CALLA-AUPA--SIXTO</t>
  </si>
  <si>
    <t>CHARACC-CHINCHERO</t>
  </si>
  <si>
    <t>QUISPE-N--NICOMEDES</t>
  </si>
  <si>
    <t>HUAMAN-QUILLAHUAMAN-MACELINO</t>
  </si>
  <si>
    <t>CHARAC-CHINCHERO</t>
  </si>
  <si>
    <t>CA030090</t>
  </si>
  <si>
    <t>RODRIGUEZ-AUCCACUSI--HENRY</t>
  </si>
  <si>
    <t>CC--YANACONA-SECTOR-NUEVO-TRIU</t>
  </si>
  <si>
    <t>CA030453</t>
  </si>
  <si>
    <t>CONDE-CHOQQUECONZA--DANIEL</t>
  </si>
  <si>
    <t>CP-CHINCHERO---SECTOR-AYLLOPON</t>
  </si>
  <si>
    <t>CONDORI-CALDERON--GUIDO</t>
  </si>
  <si>
    <t>CALLE-HUANCARPATA</t>
  </si>
  <si>
    <t>AUCCAPUMA-CONDE--WILIAM</t>
  </si>
  <si>
    <t>CALLE-HUANCARPATA-S-N---CHINCH</t>
  </si>
  <si>
    <t>RONDAN-AUCCAPUMA--JHENESKA</t>
  </si>
  <si>
    <t>CALLE-CONQUISTA---CP-CHINCHERO</t>
  </si>
  <si>
    <t>PUMA-HANCCO--HEBERT</t>
  </si>
  <si>
    <t>C-C--DE-YANACONA-SECTOR-DE-NUE</t>
  </si>
  <si>
    <t>CALLA-AUPA-KJUIRO--MARTHA</t>
  </si>
  <si>
    <t>CALLE-HUANCARPATA-CP-CHICHERO</t>
  </si>
  <si>
    <t>CA030093</t>
  </si>
  <si>
    <t>SULLCA-JUAN--DE-DIOS</t>
  </si>
  <si>
    <t>CUPER-BAJO</t>
  </si>
  <si>
    <t>PAUCCAR-QUISPE--RAIMUNDO</t>
  </si>
  <si>
    <t>CJUIRO-MARCOS-</t>
  </si>
  <si>
    <t>QUISPE-ENRIQUEZ--FRANCISCA</t>
  </si>
  <si>
    <t>C-C--CUPER-BAJO--CHINCHERO</t>
  </si>
  <si>
    <t>CALLA-AUPA-CJUIRO--JOSE-CARMEN</t>
  </si>
  <si>
    <t>CA030097</t>
  </si>
  <si>
    <t>GUTIERREZ-DE-QUISPE--FELICITAS</t>
  </si>
  <si>
    <t>TAUCCA</t>
  </si>
  <si>
    <t>AUCCAPUMA-HUAMAN--MAXIMO</t>
  </si>
  <si>
    <t>TTITO-AUCCAPUMA--RENE</t>
  </si>
  <si>
    <t>SALLO-PAUCCAR--MARIO</t>
  </si>
  <si>
    <t>TAUCCA--CHINCHERO</t>
  </si>
  <si>
    <t>QUISPE-CONTRERAS--LUZ-MARINA</t>
  </si>
  <si>
    <t>C-C--TAUCCA--CHINCHERO</t>
  </si>
  <si>
    <t>CA030128</t>
  </si>
  <si>
    <t>ZAMALLOA-C--LUCIO</t>
  </si>
  <si>
    <t>SIMATAUCCA-S-N</t>
  </si>
  <si>
    <t>CHAMAN-QUISPE--CEFERINO</t>
  </si>
  <si>
    <t>VARA-VALENZUELA--JUAN</t>
  </si>
  <si>
    <t>JORGE-QUISPE-ROBERTO</t>
  </si>
  <si>
    <t>SIMATAUCCA-CHINCHERO</t>
  </si>
  <si>
    <t>JORGE-QUISPE--FRANCISCO</t>
  </si>
  <si>
    <t>C-C-SIMATAUCCA---CHINCHERO-</t>
  </si>
  <si>
    <t>I-E-N-50920-SIMATAUCCA--CHINCH</t>
  </si>
  <si>
    <t>C-C-SIMATAUCCA-CHINCHERO</t>
  </si>
  <si>
    <t>F-JORGE-CUSIHUAMAN</t>
  </si>
  <si>
    <t>ZAMALLOA-JORGE--PORFIRIO</t>
  </si>
  <si>
    <t>SIMATAUCCA---CHINCHERO</t>
  </si>
  <si>
    <t>CA030094</t>
  </si>
  <si>
    <t>CALLA4AUPA-Q--RUPERTO</t>
  </si>
  <si>
    <t>CUPER-ALTO</t>
  </si>
  <si>
    <t>QUISPE-RODRIGUEZ--MARTHA</t>
  </si>
  <si>
    <t>C-C-CUPER-ALTO-S-N---CHINCHERO</t>
  </si>
  <si>
    <t>CA030165</t>
  </si>
  <si>
    <t>MESCO-DE--ALCANTARA--EUFEMIA</t>
  </si>
  <si>
    <t>KORIMARKA</t>
  </si>
  <si>
    <t>QUISPE-HUAMAN--EDUARDO</t>
  </si>
  <si>
    <t>KORIMARCA</t>
  </si>
  <si>
    <t>MESCCO-SEGOVIA--INOCENCIO</t>
  </si>
  <si>
    <t>CENTRO-POBLADO-CCORIMARCA</t>
  </si>
  <si>
    <t>ALCANTARA-MESCCO--MARIO</t>
  </si>
  <si>
    <t>C-C--KORIMARCA-CHINCHERO</t>
  </si>
  <si>
    <t>CA030160</t>
  </si>
  <si>
    <t>AUCCACUSI-ALANYA-MAURO</t>
  </si>
  <si>
    <t>CHINCHIMACAY-CHINCHERO-</t>
  </si>
  <si>
    <t>RODRIGUEZ-SANCHEZ--ISIDRO</t>
  </si>
  <si>
    <t>CHINCHEMACAY</t>
  </si>
  <si>
    <t>CA030107</t>
  </si>
  <si>
    <t>CUSIHUAMAN-QUISPE--MARIANO-ROS</t>
  </si>
  <si>
    <t>AYARMACA-S-N</t>
  </si>
  <si>
    <t>FLORES-QUISPE--FAUSTINA</t>
  </si>
  <si>
    <t>C-C-AYARMACA-S-N---CHINCHERO</t>
  </si>
  <si>
    <t>CA030060</t>
  </si>
  <si>
    <t>CAYETANO-Q-WALTER</t>
  </si>
  <si>
    <t>HOLONES</t>
  </si>
  <si>
    <t>CA030062</t>
  </si>
  <si>
    <t>TTITO-HUAMAN--GREGORIO</t>
  </si>
  <si>
    <t>SECTOR-MUYURI-CHINCHERO</t>
  </si>
  <si>
    <t>CA030063</t>
  </si>
  <si>
    <t>AUCCACUSI-GUTIERREZ--CAYO-FRAN</t>
  </si>
  <si>
    <t>MUYURI-CHINCHERO</t>
  </si>
  <si>
    <t>CA030141</t>
  </si>
  <si>
    <t>QUISPE-PA-IHUARA--JOSE-VIDAL</t>
  </si>
  <si>
    <t>HUILAHUILA</t>
  </si>
  <si>
    <t>CONDORI-PUMAYALLI--ENRIQUE</t>
  </si>
  <si>
    <t>C-C--HUILA-HUILA---CHINCHERO-</t>
  </si>
  <si>
    <t>CA030161</t>
  </si>
  <si>
    <t>SEGOVIA-JAIMES--TOMAS</t>
  </si>
  <si>
    <t>CHECON-TANGABAMBA</t>
  </si>
  <si>
    <t>CA030385</t>
  </si>
  <si>
    <t>CUSICUNA-SEGOVIA--ALEJANDRO</t>
  </si>
  <si>
    <t>SECTOR-RAMOSCCACCA-SN</t>
  </si>
  <si>
    <t>CA030095</t>
  </si>
  <si>
    <t>LLANCAY-CUSIHUAMAN--SERGIO-ROS</t>
  </si>
  <si>
    <t>OCUTUAN</t>
  </si>
  <si>
    <t>HUAMAN-QUISPE--SERAPIO</t>
  </si>
  <si>
    <t>C-C-OCUTUAN-CHINCHERO</t>
  </si>
  <si>
    <t>HUARHUA-LLANCAY--HERNANDO</t>
  </si>
  <si>
    <t>OCUTUAN-CHINCHERO</t>
  </si>
  <si>
    <t>CUSIHUAMAN-HUARHUA--GREGORIO</t>
  </si>
  <si>
    <t>UCUTUAN</t>
  </si>
  <si>
    <t>JAIMES-H---GREGORIO</t>
  </si>
  <si>
    <t>OCUTUHUAN</t>
  </si>
  <si>
    <t>BENITO-NINA--FRANCISCO</t>
  </si>
  <si>
    <t>OCUTHUAN</t>
  </si>
  <si>
    <t>CA030091</t>
  </si>
  <si>
    <t>INSTITUCION-EDUCATIVA--N-50607</t>
  </si>
  <si>
    <t>C-C--CCORICANCHA---CHINCHERO</t>
  </si>
  <si>
    <t>CHALLCO-USCAPI--MARIANO</t>
  </si>
  <si>
    <t>CCORICANCHA</t>
  </si>
  <si>
    <t>HUALLPAYUNCA-CHALLCO--EPIFANIO</t>
  </si>
  <si>
    <t>CA030096</t>
  </si>
  <si>
    <t>BENITO-CANO---PEDRO</t>
  </si>
  <si>
    <t>UMASBAMBA</t>
  </si>
  <si>
    <t>QUISPE-HUARHUA--CAYETANO-</t>
  </si>
  <si>
    <t>HANCCO-CHAUCCA--ZENOBIO</t>
  </si>
  <si>
    <t>CC--UMASBAMBA---CHINCHERO</t>
  </si>
  <si>
    <t>BENITO-CANO--MACARIO</t>
  </si>
  <si>
    <t>BENITO-NINA--EDILBERTO</t>
  </si>
  <si>
    <t>CC-UMASBAMBA--CHINCHERO</t>
  </si>
  <si>
    <t>CA030458</t>
  </si>
  <si>
    <t>MESCCO-SOTO--RAUL-SABINO</t>
  </si>
  <si>
    <t>PONGOBAMBA---S-N</t>
  </si>
  <si>
    <t>COLEGIO-MIXTO--MATEO-PUMACAHUA</t>
  </si>
  <si>
    <t>PONGOBAMBA</t>
  </si>
  <si>
    <t>CA030066</t>
  </si>
  <si>
    <t>PONGOBAMBA-CHINCHERO--SALON-CO</t>
  </si>
  <si>
    <t>C-C-PONGOBAMBA---CHINCHERO</t>
  </si>
  <si>
    <t>CALLANAUPA-CUSIHUAMA-</t>
  </si>
  <si>
    <t>SOTO-PILLCO--ROSENDO</t>
  </si>
  <si>
    <t>CUSIHUAMAN-CJUIRO--MIGUEL</t>
  </si>
  <si>
    <t>CA030067</t>
  </si>
  <si>
    <t>CUSIHUAMAN-AUCCAPUMA--SILVERIO</t>
  </si>
  <si>
    <t>USCAPI-CASTILLO-AUGUSTO</t>
  </si>
  <si>
    <t>PONGOBAMBA-CHINCHERO</t>
  </si>
  <si>
    <t>USCAPI-CJUIRO--FRANCISCO</t>
  </si>
  <si>
    <t>CUSICUNA-VALENCIA--RAYMUNDO</t>
  </si>
  <si>
    <t>PIURAY-S-N</t>
  </si>
  <si>
    <t>CA030068</t>
  </si>
  <si>
    <t>HUARCAYA-FOLLANA--WASHINGTON</t>
  </si>
  <si>
    <t>C-C--AYLLOPONGO-SECTOR-HUITAPU</t>
  </si>
  <si>
    <t>MESCCO-CALLA-AUPA--EULOGIO</t>
  </si>
  <si>
    <t>CC-AYLLUPONGO---CHINCHERO</t>
  </si>
  <si>
    <t>QUISPE-CUSICUNA-DANI</t>
  </si>
  <si>
    <t>HUITAPUCYO---S-N</t>
  </si>
  <si>
    <t>NINAN-CALLA-AUPA--GROVER-REYNA</t>
  </si>
  <si>
    <t>CA030069</t>
  </si>
  <si>
    <t>CUSIHUAMAN-CUSIPUMA--ALFREDO</t>
  </si>
  <si>
    <t>CC--CUPER-SECTOR-PUCAMARCA-CHI</t>
  </si>
  <si>
    <t>AMAU-QUISPE-ANGEL</t>
  </si>
  <si>
    <t>PUCAMARCA-CHINCHERO</t>
  </si>
  <si>
    <t>PUMAYALLI-QUISPE--MACARIO</t>
  </si>
  <si>
    <t>HUITAPUCYO</t>
  </si>
  <si>
    <t>QUISPE-QUISPE-EUSTAQUIO</t>
  </si>
  <si>
    <t>PUCAMARCA-HUITAPUCYO-CHIN</t>
  </si>
  <si>
    <t>CA030098</t>
  </si>
  <si>
    <t>ENRRIQUEZ-TTITO--LENIN</t>
  </si>
  <si>
    <t>SECTOR-CCORCCOR-UMASBAMBA-CHIN</t>
  </si>
  <si>
    <t>CA030092</t>
  </si>
  <si>
    <t>SOTO-CCUIRO--BRAULIO</t>
  </si>
  <si>
    <t>C--C---VALLE-DE-CHOSICA--S-N--</t>
  </si>
  <si>
    <t>RIMACHE-QUISPE--ESTEBAN</t>
  </si>
  <si>
    <t>CUSIYUNCA-CONDORI--ZENON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</si>
</sst>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7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43152</v>
      </c>
      <c r="C2" t="s">
        <v>18</v>
      </c>
      <c r="D2" t="str">
        <f>CONCATENATE("0070027145","")</f>
        <v>0070027145</v>
      </c>
      <c r="E2" t="str">
        <f>CONCATENATE("0010401000046       ","")</f>
        <v>0010401000046       </v>
      </c>
      <c r="F2" t="str">
        <f>CONCATENATE("606902430","")</f>
        <v>606902430</v>
      </c>
      <c r="G2" t="s">
        <v>19</v>
      </c>
      <c r="H2" t="s">
        <v>20</v>
      </c>
      <c r="I2" t="s">
        <v>21</v>
      </c>
      <c r="J2" t="str">
        <f aca="true" t="shared" si="0" ref="J2:J42">CONCATENATE("080103","")</f>
        <v>080103</v>
      </c>
      <c r="K2" t="s">
        <v>22</v>
      </c>
      <c r="L2" t="s">
        <v>23</v>
      </c>
      <c r="M2" t="str">
        <f aca="true" t="shared" si="1" ref="M2:M13">CONCATENATE("1","")</f>
        <v>1</v>
      </c>
      <c r="O2" t="str">
        <f>CONCATENATE("1 ","")</f>
        <v>1 </v>
      </c>
      <c r="P2">
        <v>60.1</v>
      </c>
      <c r="Q2" t="s">
        <v>24</v>
      </c>
    </row>
    <row r="3" spans="1:17" ht="15">
      <c r="A3" t="s">
        <v>17</v>
      </c>
      <c r="B3" s="1">
        <v>43152</v>
      </c>
      <c r="C3" t="s">
        <v>18</v>
      </c>
      <c r="D3" t="str">
        <f>CONCATENATE("0070000023","")</f>
        <v>0070000023</v>
      </c>
      <c r="E3" t="str">
        <f>CONCATENATE("0010401000085       ","")</f>
        <v>0010401000085       </v>
      </c>
      <c r="F3" t="str">
        <f>CONCATENATE("1803836","")</f>
        <v>1803836</v>
      </c>
      <c r="G3" t="s">
        <v>19</v>
      </c>
      <c r="H3" t="s">
        <v>25</v>
      </c>
      <c r="I3" t="s">
        <v>26</v>
      </c>
      <c r="J3" t="str">
        <f t="shared" si="0"/>
        <v>080103</v>
      </c>
      <c r="K3" t="s">
        <v>22</v>
      </c>
      <c r="L3" t="s">
        <v>23</v>
      </c>
      <c r="M3" t="str">
        <f t="shared" si="1"/>
        <v>1</v>
      </c>
      <c r="O3" t="str">
        <f>CONCATENATE("1 ","")</f>
        <v>1 </v>
      </c>
      <c r="P3">
        <v>1343</v>
      </c>
      <c r="Q3" t="s">
        <v>24</v>
      </c>
    </row>
    <row r="4" spans="1:17" ht="15">
      <c r="A4" t="s">
        <v>17</v>
      </c>
      <c r="B4" s="1">
        <v>43152</v>
      </c>
      <c r="C4" t="s">
        <v>18</v>
      </c>
      <c r="D4" t="str">
        <f>CONCATENATE("0070000033","")</f>
        <v>0070000033</v>
      </c>
      <c r="E4" t="str">
        <f>CONCATENATE("0010401000109       ","")</f>
        <v>0010401000109       </v>
      </c>
      <c r="F4" t="str">
        <f>CONCATENATE("607299363","")</f>
        <v>607299363</v>
      </c>
      <c r="G4" t="s">
        <v>27</v>
      </c>
      <c r="H4" t="s">
        <v>28</v>
      </c>
      <c r="I4" t="s">
        <v>29</v>
      </c>
      <c r="J4" t="str">
        <f t="shared" si="0"/>
        <v>080103</v>
      </c>
      <c r="K4" t="s">
        <v>22</v>
      </c>
      <c r="L4" t="s">
        <v>23</v>
      </c>
      <c r="M4" t="str">
        <f t="shared" si="1"/>
        <v>1</v>
      </c>
      <c r="O4" t="str">
        <f>CONCATENATE("1 ","")</f>
        <v>1 </v>
      </c>
      <c r="P4">
        <v>468.55</v>
      </c>
      <c r="Q4" t="s">
        <v>24</v>
      </c>
    </row>
    <row r="5" spans="1:17" ht="15">
      <c r="A5" t="s">
        <v>17</v>
      </c>
      <c r="B5" s="1">
        <v>43152</v>
      </c>
      <c r="C5" t="s">
        <v>18</v>
      </c>
      <c r="D5" t="str">
        <f>CONCATENATE("0070000078","")</f>
        <v>0070000078</v>
      </c>
      <c r="E5" t="str">
        <f>CONCATENATE("0010401000258       ","")</f>
        <v>0010401000258       </v>
      </c>
      <c r="F5" t="str">
        <f>CONCATENATE("1803830","")</f>
        <v>1803830</v>
      </c>
      <c r="G5" t="s">
        <v>30</v>
      </c>
      <c r="H5" t="s">
        <v>31</v>
      </c>
      <c r="I5" t="s">
        <v>32</v>
      </c>
      <c r="J5" t="str">
        <f t="shared" si="0"/>
        <v>080103</v>
      </c>
      <c r="K5" t="s">
        <v>22</v>
      </c>
      <c r="L5" t="s">
        <v>23</v>
      </c>
      <c r="M5" t="str">
        <f t="shared" si="1"/>
        <v>1</v>
      </c>
      <c r="O5" t="str">
        <f>CONCATENATE("1 ","")</f>
        <v>1 </v>
      </c>
      <c r="P5">
        <v>239</v>
      </c>
      <c r="Q5" t="s">
        <v>24</v>
      </c>
    </row>
    <row r="6" spans="1:17" ht="15">
      <c r="A6" t="s">
        <v>17</v>
      </c>
      <c r="B6" s="1">
        <v>43152</v>
      </c>
      <c r="C6" t="s">
        <v>18</v>
      </c>
      <c r="D6" t="str">
        <f>CONCATENATE("0070000095","")</f>
        <v>0070000095</v>
      </c>
      <c r="E6" t="str">
        <f>CONCATENATE("0010401000304       ","")</f>
        <v>0010401000304       </v>
      </c>
      <c r="F6" t="str">
        <f>CONCATENATE("605085690","")</f>
        <v>605085690</v>
      </c>
      <c r="G6" t="s">
        <v>19</v>
      </c>
      <c r="H6" t="s">
        <v>33</v>
      </c>
      <c r="I6" t="s">
        <v>34</v>
      </c>
      <c r="J6" t="str">
        <f t="shared" si="0"/>
        <v>080103</v>
      </c>
      <c r="K6" t="s">
        <v>22</v>
      </c>
      <c r="L6" t="s">
        <v>23</v>
      </c>
      <c r="M6" t="str">
        <f t="shared" si="1"/>
        <v>1</v>
      </c>
      <c r="O6" t="str">
        <f>CONCATENATE("1 ","")</f>
        <v>1 </v>
      </c>
      <c r="P6">
        <v>86.15</v>
      </c>
      <c r="Q6" t="s">
        <v>24</v>
      </c>
    </row>
    <row r="7" spans="1:17" ht="15">
      <c r="A7" t="s">
        <v>17</v>
      </c>
      <c r="B7" s="1">
        <v>43152</v>
      </c>
      <c r="C7" t="s">
        <v>18</v>
      </c>
      <c r="D7" t="str">
        <f>CONCATENATE("0070013890","")</f>
        <v>0070013890</v>
      </c>
      <c r="E7" t="str">
        <f>CONCATENATE("0010401000413       ","")</f>
        <v>0010401000413       </v>
      </c>
      <c r="F7" t="str">
        <f>CONCATENATE("0409-547716","")</f>
        <v>0409-547716</v>
      </c>
      <c r="G7" t="s">
        <v>27</v>
      </c>
      <c r="H7" t="s">
        <v>35</v>
      </c>
      <c r="I7" t="s">
        <v>36</v>
      </c>
      <c r="J7" t="str">
        <f t="shared" si="0"/>
        <v>080103</v>
      </c>
      <c r="K7" t="s">
        <v>22</v>
      </c>
      <c r="L7" t="s">
        <v>23</v>
      </c>
      <c r="M7" t="str">
        <f t="shared" si="1"/>
        <v>1</v>
      </c>
      <c r="O7" t="str">
        <f>CONCATENATE("2 ","")</f>
        <v>2 </v>
      </c>
      <c r="P7">
        <v>20.15</v>
      </c>
      <c r="Q7" t="s">
        <v>24</v>
      </c>
    </row>
    <row r="8" spans="1:17" ht="15">
      <c r="A8" t="s">
        <v>17</v>
      </c>
      <c r="B8" s="1">
        <v>43152</v>
      </c>
      <c r="C8" t="s">
        <v>18</v>
      </c>
      <c r="D8" t="str">
        <f>CONCATENATE("0070017709","")</f>
        <v>0070017709</v>
      </c>
      <c r="E8" t="str">
        <f>CONCATENATE("0010401000526       ","")</f>
        <v>0010401000526       </v>
      </c>
      <c r="F8" t="str">
        <f>CONCATENATE("605624091","")</f>
        <v>605624091</v>
      </c>
      <c r="G8" t="s">
        <v>19</v>
      </c>
      <c r="H8" t="s">
        <v>37</v>
      </c>
      <c r="I8" t="s">
        <v>38</v>
      </c>
      <c r="J8" t="str">
        <f t="shared" si="0"/>
        <v>080103</v>
      </c>
      <c r="K8" t="s">
        <v>22</v>
      </c>
      <c r="L8" t="s">
        <v>23</v>
      </c>
      <c r="M8" t="str">
        <f t="shared" si="1"/>
        <v>1</v>
      </c>
      <c r="O8" t="str">
        <f>CONCATENATE("3 ","")</f>
        <v>3 </v>
      </c>
      <c r="P8">
        <v>71.35</v>
      </c>
      <c r="Q8" t="s">
        <v>24</v>
      </c>
    </row>
    <row r="9" spans="1:17" ht="15">
      <c r="A9" t="s">
        <v>17</v>
      </c>
      <c r="B9" s="1">
        <v>43152</v>
      </c>
      <c r="C9" t="s">
        <v>18</v>
      </c>
      <c r="D9" t="str">
        <f>CONCATENATE("0070023472","")</f>
        <v>0070023472</v>
      </c>
      <c r="E9" t="str">
        <f>CONCATENATE("0010401000557       ","")</f>
        <v>0010401000557       </v>
      </c>
      <c r="F9" t="str">
        <f>CONCATENATE("606676110","")</f>
        <v>606676110</v>
      </c>
      <c r="G9" t="s">
        <v>30</v>
      </c>
      <c r="H9" t="s">
        <v>39</v>
      </c>
      <c r="I9" t="s">
        <v>40</v>
      </c>
      <c r="J9" t="str">
        <f t="shared" si="0"/>
        <v>080103</v>
      </c>
      <c r="K9" t="s">
        <v>22</v>
      </c>
      <c r="L9" t="s">
        <v>23</v>
      </c>
      <c r="M9" t="str">
        <f t="shared" si="1"/>
        <v>1</v>
      </c>
      <c r="O9" t="str">
        <f>CONCATENATE("1 ","")</f>
        <v>1 </v>
      </c>
      <c r="P9">
        <v>46.05</v>
      </c>
      <c r="Q9" t="s">
        <v>24</v>
      </c>
    </row>
    <row r="10" spans="1:17" ht="15">
      <c r="A10" t="s">
        <v>17</v>
      </c>
      <c r="B10" s="1">
        <v>43152</v>
      </c>
      <c r="C10" t="s">
        <v>18</v>
      </c>
      <c r="D10" t="str">
        <f>CONCATENATE("0070010205","")</f>
        <v>0070010205</v>
      </c>
      <c r="E10" t="str">
        <f>CONCATENATE("0010402001110       ","")</f>
        <v>0010402001110       </v>
      </c>
      <c r="F10" t="str">
        <f>CONCATENATE("605117528","")</f>
        <v>605117528</v>
      </c>
      <c r="G10" t="s">
        <v>41</v>
      </c>
      <c r="H10" t="s">
        <v>42</v>
      </c>
      <c r="I10" t="s">
        <v>43</v>
      </c>
      <c r="J10" t="str">
        <f t="shared" si="0"/>
        <v>080103</v>
      </c>
      <c r="K10" t="s">
        <v>22</v>
      </c>
      <c r="L10" t="s">
        <v>23</v>
      </c>
      <c r="M10" t="str">
        <f t="shared" si="1"/>
        <v>1</v>
      </c>
      <c r="O10" t="str">
        <f>CONCATENATE("2 ","")</f>
        <v>2 </v>
      </c>
      <c r="P10">
        <v>61.45</v>
      </c>
      <c r="Q10" t="s">
        <v>24</v>
      </c>
    </row>
    <row r="11" spans="1:17" ht="15">
      <c r="A11" t="s">
        <v>17</v>
      </c>
      <c r="B11" s="1">
        <v>43152</v>
      </c>
      <c r="C11" t="s">
        <v>18</v>
      </c>
      <c r="D11" t="str">
        <f>CONCATENATE("0070010204","")</f>
        <v>0070010204</v>
      </c>
      <c r="E11" t="str">
        <f>CONCATENATE("0010402001120       ","")</f>
        <v>0010402001120       </v>
      </c>
      <c r="F11" t="str">
        <f>CONCATENATE("606083342","")</f>
        <v>606083342</v>
      </c>
      <c r="G11" t="s">
        <v>41</v>
      </c>
      <c r="H11" t="s">
        <v>44</v>
      </c>
      <c r="I11" t="s">
        <v>43</v>
      </c>
      <c r="J11" t="str">
        <f t="shared" si="0"/>
        <v>080103</v>
      </c>
      <c r="K11" t="s">
        <v>22</v>
      </c>
      <c r="L11" t="s">
        <v>23</v>
      </c>
      <c r="M11" t="str">
        <f t="shared" si="1"/>
        <v>1</v>
      </c>
      <c r="O11" t="str">
        <f>CONCATENATE("1 ","")</f>
        <v>1 </v>
      </c>
      <c r="P11">
        <v>11.85</v>
      </c>
      <c r="Q11" t="s">
        <v>24</v>
      </c>
    </row>
    <row r="12" spans="1:17" ht="15">
      <c r="A12" t="s">
        <v>17</v>
      </c>
      <c r="B12" s="1">
        <v>43152</v>
      </c>
      <c r="C12" t="s">
        <v>18</v>
      </c>
      <c r="D12" t="str">
        <f>CONCATENATE("0070010213","")</f>
        <v>0070010213</v>
      </c>
      <c r="E12" t="str">
        <f>CONCATENATE("0010402001180       ","")</f>
        <v>0010402001180       </v>
      </c>
      <c r="F12" t="str">
        <f>CONCATENATE("605754001","")</f>
        <v>605754001</v>
      </c>
      <c r="G12" t="s">
        <v>41</v>
      </c>
      <c r="H12" t="s">
        <v>45</v>
      </c>
      <c r="I12" t="s">
        <v>43</v>
      </c>
      <c r="J12" t="str">
        <f t="shared" si="0"/>
        <v>080103</v>
      </c>
      <c r="K12" t="s">
        <v>22</v>
      </c>
      <c r="L12" t="s">
        <v>23</v>
      </c>
      <c r="M12" t="str">
        <f t="shared" si="1"/>
        <v>1</v>
      </c>
      <c r="O12" t="str">
        <f>CONCATENATE("2 ","")</f>
        <v>2 </v>
      </c>
      <c r="P12">
        <v>56.85</v>
      </c>
      <c r="Q12" t="s">
        <v>24</v>
      </c>
    </row>
    <row r="13" spans="1:17" ht="15">
      <c r="A13" t="s">
        <v>17</v>
      </c>
      <c r="B13" s="1">
        <v>43152</v>
      </c>
      <c r="C13" t="s">
        <v>18</v>
      </c>
      <c r="D13" t="str">
        <f>CONCATENATE("0070015159","")</f>
        <v>0070015159</v>
      </c>
      <c r="E13" t="str">
        <f>CONCATENATE("0010402003035       ","")</f>
        <v>0010402003035       </v>
      </c>
      <c r="F13" t="str">
        <f>CONCATENATE("607292633","")</f>
        <v>607292633</v>
      </c>
      <c r="G13" t="s">
        <v>41</v>
      </c>
      <c r="H13" t="s">
        <v>46</v>
      </c>
      <c r="I13" t="s">
        <v>47</v>
      </c>
      <c r="J13" t="str">
        <f t="shared" si="0"/>
        <v>080103</v>
      </c>
      <c r="K13" t="s">
        <v>22</v>
      </c>
      <c r="L13" t="s">
        <v>23</v>
      </c>
      <c r="M13" t="str">
        <f t="shared" si="1"/>
        <v>1</v>
      </c>
      <c r="O13" t="str">
        <f>CONCATENATE("1 ","")</f>
        <v>1 </v>
      </c>
      <c r="P13">
        <v>21.3</v>
      </c>
      <c r="Q13" t="s">
        <v>24</v>
      </c>
    </row>
    <row r="14" spans="1:17" ht="15">
      <c r="A14" t="s">
        <v>17</v>
      </c>
      <c r="B14" s="1">
        <v>43152</v>
      </c>
      <c r="C14" t="s">
        <v>18</v>
      </c>
      <c r="D14" t="str">
        <f>CONCATENATE("0070000192","")</f>
        <v>0070000192</v>
      </c>
      <c r="E14" t="str">
        <f>CONCATENATE("0010404000030       ","")</f>
        <v>0010404000030       </v>
      </c>
      <c r="F14" t="str">
        <f>CONCATENATE("607429231","")</f>
        <v>607429231</v>
      </c>
      <c r="G14" t="s">
        <v>48</v>
      </c>
      <c r="H14" t="s">
        <v>49</v>
      </c>
      <c r="I14" t="s">
        <v>50</v>
      </c>
      <c r="J14" t="str">
        <f t="shared" si="0"/>
        <v>080103</v>
      </c>
      <c r="K14" t="s">
        <v>22</v>
      </c>
      <c r="L14" t="s">
        <v>23</v>
      </c>
      <c r="M14" t="str">
        <f>CONCATENATE("4","")</f>
        <v>4</v>
      </c>
      <c r="O14" t="str">
        <f>CONCATENATE("3 ","")</f>
        <v>3 </v>
      </c>
      <c r="P14">
        <v>226.7</v>
      </c>
      <c r="Q14" t="s">
        <v>51</v>
      </c>
    </row>
    <row r="15" spans="1:17" ht="15">
      <c r="A15" t="s">
        <v>17</v>
      </c>
      <c r="B15" s="1">
        <v>43152</v>
      </c>
      <c r="C15" t="s">
        <v>18</v>
      </c>
      <c r="D15" t="str">
        <f>CONCATENATE("0070024471","")</f>
        <v>0070024471</v>
      </c>
      <c r="E15" t="str">
        <f>CONCATENATE("0010404000048       ","")</f>
        <v>0010404000048       </v>
      </c>
      <c r="F15" t="str">
        <f>CONCATENATE("607092536","")</f>
        <v>607092536</v>
      </c>
      <c r="G15" t="s">
        <v>48</v>
      </c>
      <c r="H15" t="s">
        <v>52</v>
      </c>
      <c r="I15" t="s">
        <v>53</v>
      </c>
      <c r="J15" t="str">
        <f t="shared" si="0"/>
        <v>080103</v>
      </c>
      <c r="K15" t="s">
        <v>22</v>
      </c>
      <c r="L15" t="s">
        <v>23</v>
      </c>
      <c r="M15" t="str">
        <f aca="true" t="shared" si="2" ref="M15:M31">CONCATENATE("1","")</f>
        <v>1</v>
      </c>
      <c r="O15" t="str">
        <f>CONCATENATE("1 ","")</f>
        <v>1 </v>
      </c>
      <c r="P15">
        <v>67.35</v>
      </c>
      <c r="Q15" t="s">
        <v>24</v>
      </c>
    </row>
    <row r="16" spans="1:17" ht="15">
      <c r="A16" t="s">
        <v>17</v>
      </c>
      <c r="B16" s="1">
        <v>43152</v>
      </c>
      <c r="C16" t="s">
        <v>18</v>
      </c>
      <c r="D16" t="str">
        <f>CONCATENATE("0070000195","")</f>
        <v>0070000195</v>
      </c>
      <c r="E16" t="str">
        <f>CONCATENATE("0010404000100       ","")</f>
        <v>0010404000100       </v>
      </c>
      <c r="F16" t="str">
        <f>CONCATENATE("607445620","")</f>
        <v>607445620</v>
      </c>
      <c r="G16" t="s">
        <v>48</v>
      </c>
      <c r="H16" t="s">
        <v>54</v>
      </c>
      <c r="I16" t="s">
        <v>50</v>
      </c>
      <c r="J16" t="str">
        <f t="shared" si="0"/>
        <v>080103</v>
      </c>
      <c r="K16" t="s">
        <v>22</v>
      </c>
      <c r="L16" t="s">
        <v>23</v>
      </c>
      <c r="M16" t="str">
        <f t="shared" si="2"/>
        <v>1</v>
      </c>
      <c r="O16" t="str">
        <f>CONCATENATE("2 ","")</f>
        <v>2 </v>
      </c>
      <c r="P16">
        <v>47.5</v>
      </c>
      <c r="Q16" t="s">
        <v>24</v>
      </c>
    </row>
    <row r="17" spans="1:17" ht="15">
      <c r="A17" t="s">
        <v>17</v>
      </c>
      <c r="B17" s="1">
        <v>43152</v>
      </c>
      <c r="C17" t="s">
        <v>18</v>
      </c>
      <c r="D17" t="str">
        <f>CONCATENATE("0070014124","")</f>
        <v>0070014124</v>
      </c>
      <c r="E17" t="str">
        <f>CONCATENATE("0010404000185       ","")</f>
        <v>0010404000185       </v>
      </c>
      <c r="F17" t="str">
        <f>CONCATENATE("607308859","")</f>
        <v>607308859</v>
      </c>
      <c r="G17" t="s">
        <v>48</v>
      </c>
      <c r="H17" t="s">
        <v>55</v>
      </c>
      <c r="I17" t="s">
        <v>56</v>
      </c>
      <c r="J17" t="str">
        <f t="shared" si="0"/>
        <v>080103</v>
      </c>
      <c r="K17" t="s">
        <v>22</v>
      </c>
      <c r="L17" t="s">
        <v>23</v>
      </c>
      <c r="M17" t="str">
        <f t="shared" si="2"/>
        <v>1</v>
      </c>
      <c r="O17" t="str">
        <f>CONCATENATE("1 ","")</f>
        <v>1 </v>
      </c>
      <c r="P17">
        <v>63.6</v>
      </c>
      <c r="Q17" t="s">
        <v>24</v>
      </c>
    </row>
    <row r="18" spans="1:17" ht="15">
      <c r="A18" t="s">
        <v>17</v>
      </c>
      <c r="B18" s="1">
        <v>43152</v>
      </c>
      <c r="C18" t="s">
        <v>18</v>
      </c>
      <c r="D18" t="str">
        <f>CONCATENATE("0070020381","")</f>
        <v>0070020381</v>
      </c>
      <c r="E18" t="str">
        <f>CONCATENATE("0010404000227       ","")</f>
        <v>0010404000227       </v>
      </c>
      <c r="F18" t="str">
        <f>CONCATENATE("605945894","")</f>
        <v>605945894</v>
      </c>
      <c r="G18" t="s">
        <v>48</v>
      </c>
      <c r="H18" t="s">
        <v>57</v>
      </c>
      <c r="I18" t="s">
        <v>58</v>
      </c>
      <c r="J18" t="str">
        <f t="shared" si="0"/>
        <v>080103</v>
      </c>
      <c r="K18" t="s">
        <v>22</v>
      </c>
      <c r="L18" t="s">
        <v>23</v>
      </c>
      <c r="M18" t="str">
        <f t="shared" si="2"/>
        <v>1</v>
      </c>
      <c r="O18" t="str">
        <f>CONCATENATE("1 ","")</f>
        <v>1 </v>
      </c>
      <c r="P18">
        <v>64.15</v>
      </c>
      <c r="Q18" t="s">
        <v>24</v>
      </c>
    </row>
    <row r="19" spans="1:17" ht="15">
      <c r="A19" t="s">
        <v>17</v>
      </c>
      <c r="B19" s="1">
        <v>43152</v>
      </c>
      <c r="C19" t="s">
        <v>18</v>
      </c>
      <c r="D19" t="str">
        <f>CONCATENATE("0070024467","")</f>
        <v>0070024467</v>
      </c>
      <c r="E19" t="str">
        <f>CONCATENATE("0010404000348       ","")</f>
        <v>0010404000348       </v>
      </c>
      <c r="F19" t="str">
        <f>CONCATENATE("607092571","")</f>
        <v>607092571</v>
      </c>
      <c r="G19" t="s">
        <v>48</v>
      </c>
      <c r="H19" t="s">
        <v>59</v>
      </c>
      <c r="I19" t="s">
        <v>53</v>
      </c>
      <c r="J19" t="str">
        <f t="shared" si="0"/>
        <v>080103</v>
      </c>
      <c r="K19" t="s">
        <v>22</v>
      </c>
      <c r="L19" t="s">
        <v>23</v>
      </c>
      <c r="M19" t="str">
        <f t="shared" si="2"/>
        <v>1</v>
      </c>
      <c r="O19" t="str">
        <f>CONCATENATE("1 ","")</f>
        <v>1 </v>
      </c>
      <c r="P19">
        <v>18.15</v>
      </c>
      <c r="Q19" t="s">
        <v>24</v>
      </c>
    </row>
    <row r="20" spans="1:17" ht="15">
      <c r="A20" t="s">
        <v>17</v>
      </c>
      <c r="B20" s="1">
        <v>43152</v>
      </c>
      <c r="C20" t="s">
        <v>18</v>
      </c>
      <c r="D20" t="str">
        <f>CONCATENATE("0070024439","")</f>
        <v>0070024439</v>
      </c>
      <c r="E20" t="str">
        <f>CONCATENATE("0010404000820       ","")</f>
        <v>0010404000820       </v>
      </c>
      <c r="F20" t="str">
        <f>CONCATENATE("607092556","")</f>
        <v>607092556</v>
      </c>
      <c r="G20" t="s">
        <v>48</v>
      </c>
      <c r="H20" t="s">
        <v>60</v>
      </c>
      <c r="I20" t="s">
        <v>53</v>
      </c>
      <c r="J20" t="str">
        <f t="shared" si="0"/>
        <v>080103</v>
      </c>
      <c r="K20" t="s">
        <v>22</v>
      </c>
      <c r="L20" t="s">
        <v>23</v>
      </c>
      <c r="M20" t="str">
        <f t="shared" si="2"/>
        <v>1</v>
      </c>
      <c r="O20" t="str">
        <f>CONCATENATE("5 ","")</f>
        <v>5 </v>
      </c>
      <c r="P20">
        <v>41.45</v>
      </c>
      <c r="Q20" t="s">
        <v>24</v>
      </c>
    </row>
    <row r="21" spans="1:17" ht="15">
      <c r="A21" t="s">
        <v>17</v>
      </c>
      <c r="B21" s="1">
        <v>43152</v>
      </c>
      <c r="C21" t="s">
        <v>18</v>
      </c>
      <c r="D21" t="str">
        <f>CONCATENATE("0070012718","")</f>
        <v>0070012718</v>
      </c>
      <c r="E21" t="str">
        <f>CONCATENATE("0010405000065       ","")</f>
        <v>0010405000065       </v>
      </c>
      <c r="F21" t="str">
        <f>CONCATENATE("606086260","")</f>
        <v>606086260</v>
      </c>
      <c r="G21" t="s">
        <v>61</v>
      </c>
      <c r="H21" t="s">
        <v>62</v>
      </c>
      <c r="I21" t="s">
        <v>63</v>
      </c>
      <c r="J21" t="str">
        <f t="shared" si="0"/>
        <v>080103</v>
      </c>
      <c r="K21" t="s">
        <v>22</v>
      </c>
      <c r="L21" t="s">
        <v>23</v>
      </c>
      <c r="M21" t="str">
        <f t="shared" si="2"/>
        <v>1</v>
      </c>
      <c r="O21" t="str">
        <f>CONCATENATE("1 ","")</f>
        <v>1 </v>
      </c>
      <c r="P21">
        <v>24.9</v>
      </c>
      <c r="Q21" t="s">
        <v>24</v>
      </c>
    </row>
    <row r="22" spans="1:17" ht="15">
      <c r="A22" t="s">
        <v>17</v>
      </c>
      <c r="B22" s="1">
        <v>43152</v>
      </c>
      <c r="C22" t="s">
        <v>18</v>
      </c>
      <c r="D22" t="str">
        <f>CONCATENATE("0070016607","")</f>
        <v>0070016607</v>
      </c>
      <c r="E22" t="str">
        <f>CONCATENATE("0010405000085       ","")</f>
        <v>0010405000085       </v>
      </c>
      <c r="F22" t="str">
        <f>CONCATENATE("605279633","")</f>
        <v>605279633</v>
      </c>
      <c r="G22" t="s">
        <v>61</v>
      </c>
      <c r="H22" t="s">
        <v>64</v>
      </c>
      <c r="I22" t="s">
        <v>65</v>
      </c>
      <c r="J22" t="str">
        <f t="shared" si="0"/>
        <v>080103</v>
      </c>
      <c r="K22" t="s">
        <v>22</v>
      </c>
      <c r="L22" t="s">
        <v>23</v>
      </c>
      <c r="M22" t="str">
        <f t="shared" si="2"/>
        <v>1</v>
      </c>
      <c r="O22" t="str">
        <f>CONCATENATE("1 ","")</f>
        <v>1 </v>
      </c>
      <c r="P22">
        <v>448.2</v>
      </c>
      <c r="Q22" t="s">
        <v>24</v>
      </c>
    </row>
    <row r="23" spans="1:17" ht="15">
      <c r="A23" t="s">
        <v>17</v>
      </c>
      <c r="B23" s="1">
        <v>43152</v>
      </c>
      <c r="C23" t="s">
        <v>18</v>
      </c>
      <c r="D23" t="str">
        <f>CONCATENATE("0070027174","")</f>
        <v>0070027174</v>
      </c>
      <c r="E23" t="str">
        <f>CONCATENATE("0010405000117       ","")</f>
        <v>0010405000117       </v>
      </c>
      <c r="F23" t="str">
        <f>CONCATENATE("607291111","")</f>
        <v>607291111</v>
      </c>
      <c r="G23" t="s">
        <v>61</v>
      </c>
      <c r="H23" t="s">
        <v>66</v>
      </c>
      <c r="I23" t="s">
        <v>67</v>
      </c>
      <c r="J23" t="str">
        <f t="shared" si="0"/>
        <v>080103</v>
      </c>
      <c r="K23" t="s">
        <v>22</v>
      </c>
      <c r="L23" t="s">
        <v>23</v>
      </c>
      <c r="M23" t="str">
        <f t="shared" si="2"/>
        <v>1</v>
      </c>
      <c r="O23" t="str">
        <f>CONCATENATE("1 ","")</f>
        <v>1 </v>
      </c>
      <c r="P23">
        <v>37.55</v>
      </c>
      <c r="Q23" t="s">
        <v>24</v>
      </c>
    </row>
    <row r="24" spans="1:17" ht="15">
      <c r="A24" t="s">
        <v>17</v>
      </c>
      <c r="B24" s="1">
        <v>43152</v>
      </c>
      <c r="C24" t="s">
        <v>18</v>
      </c>
      <c r="D24" t="str">
        <f>CONCATENATE("0070012721","")</f>
        <v>0070012721</v>
      </c>
      <c r="E24" t="str">
        <f>CONCATENATE("0010405000130       ","")</f>
        <v>0010405000130       </v>
      </c>
      <c r="F24" t="str">
        <f>CONCATENATE("606086252","")</f>
        <v>606086252</v>
      </c>
      <c r="G24" t="s">
        <v>61</v>
      </c>
      <c r="H24" t="s">
        <v>68</v>
      </c>
      <c r="I24" t="s">
        <v>63</v>
      </c>
      <c r="J24" t="str">
        <f t="shared" si="0"/>
        <v>080103</v>
      </c>
      <c r="K24" t="s">
        <v>22</v>
      </c>
      <c r="L24" t="s">
        <v>23</v>
      </c>
      <c r="M24" t="str">
        <f t="shared" si="2"/>
        <v>1</v>
      </c>
      <c r="O24" t="str">
        <f>CONCATENATE("1 ","")</f>
        <v>1 </v>
      </c>
      <c r="P24">
        <v>11.1</v>
      </c>
      <c r="Q24" t="s">
        <v>24</v>
      </c>
    </row>
    <row r="25" spans="1:17" ht="15">
      <c r="A25" t="s">
        <v>17</v>
      </c>
      <c r="B25" s="1">
        <v>43152</v>
      </c>
      <c r="C25" t="s">
        <v>18</v>
      </c>
      <c r="D25" t="str">
        <f>CONCATENATE("0070012717","")</f>
        <v>0070012717</v>
      </c>
      <c r="E25" t="str">
        <f>CONCATENATE("0010405000152       ","")</f>
        <v>0010405000152       </v>
      </c>
      <c r="F25" t="str">
        <f>CONCATENATE("605753997","")</f>
        <v>605753997</v>
      </c>
      <c r="G25" t="s">
        <v>61</v>
      </c>
      <c r="H25" t="s">
        <v>69</v>
      </c>
      <c r="I25" t="s">
        <v>63</v>
      </c>
      <c r="J25" t="str">
        <f t="shared" si="0"/>
        <v>080103</v>
      </c>
      <c r="K25" t="s">
        <v>22</v>
      </c>
      <c r="L25" t="s">
        <v>23</v>
      </c>
      <c r="M25" t="str">
        <f t="shared" si="2"/>
        <v>1</v>
      </c>
      <c r="O25" t="str">
        <f>CONCATENATE("1 ","")</f>
        <v>1 </v>
      </c>
      <c r="P25">
        <v>41.6</v>
      </c>
      <c r="Q25" t="s">
        <v>24</v>
      </c>
    </row>
    <row r="26" spans="1:17" ht="15">
      <c r="A26" t="s">
        <v>17</v>
      </c>
      <c r="B26" s="1">
        <v>43152</v>
      </c>
      <c r="C26" t="s">
        <v>18</v>
      </c>
      <c r="D26" t="str">
        <f>CONCATENATE("0070022309","")</f>
        <v>0070022309</v>
      </c>
      <c r="E26" t="str">
        <f>CONCATENATE("0010405000172       ","")</f>
        <v>0010405000172       </v>
      </c>
      <c r="F26" t="str">
        <f>CONCATENATE("2150290","")</f>
        <v>2150290</v>
      </c>
      <c r="G26" t="s">
        <v>61</v>
      </c>
      <c r="H26" t="s">
        <v>70</v>
      </c>
      <c r="I26" t="s">
        <v>71</v>
      </c>
      <c r="J26" t="str">
        <f t="shared" si="0"/>
        <v>080103</v>
      </c>
      <c r="K26" t="s">
        <v>22</v>
      </c>
      <c r="L26" t="s">
        <v>23</v>
      </c>
      <c r="M26" t="str">
        <f t="shared" si="2"/>
        <v>1</v>
      </c>
      <c r="O26" t="str">
        <f>CONCATENATE("2 ","")</f>
        <v>2 </v>
      </c>
      <c r="P26">
        <v>211.35</v>
      </c>
      <c r="Q26" t="s">
        <v>24</v>
      </c>
    </row>
    <row r="27" spans="1:17" ht="15">
      <c r="A27" t="s">
        <v>17</v>
      </c>
      <c r="B27" s="1">
        <v>43152</v>
      </c>
      <c r="C27" t="s">
        <v>18</v>
      </c>
      <c r="D27" t="str">
        <f>CONCATENATE("0070026792","")</f>
        <v>0070026792</v>
      </c>
      <c r="E27" t="str">
        <f>CONCATENATE("0010405000183       ","")</f>
        <v>0010405000183       </v>
      </c>
      <c r="F27" t="str">
        <f>CONCATENATE("607444216","")</f>
        <v>607444216</v>
      </c>
      <c r="G27" t="s">
        <v>61</v>
      </c>
      <c r="H27" t="s">
        <v>72</v>
      </c>
      <c r="I27" t="s">
        <v>73</v>
      </c>
      <c r="J27" t="str">
        <f t="shared" si="0"/>
        <v>080103</v>
      </c>
      <c r="K27" t="s">
        <v>22</v>
      </c>
      <c r="L27" t="s">
        <v>23</v>
      </c>
      <c r="M27" t="str">
        <f t="shared" si="2"/>
        <v>1</v>
      </c>
      <c r="O27" t="str">
        <f>CONCATENATE("1 ","")</f>
        <v>1 </v>
      </c>
      <c r="P27">
        <v>97.95</v>
      </c>
      <c r="Q27" t="s">
        <v>24</v>
      </c>
    </row>
    <row r="28" spans="1:17" ht="15">
      <c r="A28" t="s">
        <v>17</v>
      </c>
      <c r="B28" s="1">
        <v>43152</v>
      </c>
      <c r="C28" t="s">
        <v>18</v>
      </c>
      <c r="D28" t="str">
        <f>CONCATENATE("0070027045","")</f>
        <v>0070027045</v>
      </c>
      <c r="E28" t="str">
        <f>CONCATENATE("0010405000184       ","")</f>
        <v>0010405000184       </v>
      </c>
      <c r="F28" t="str">
        <f>CONCATENATE("607295524","")</f>
        <v>607295524</v>
      </c>
      <c r="G28" t="s">
        <v>61</v>
      </c>
      <c r="H28" t="s">
        <v>74</v>
      </c>
      <c r="I28" t="s">
        <v>67</v>
      </c>
      <c r="J28" t="str">
        <f t="shared" si="0"/>
        <v>080103</v>
      </c>
      <c r="K28" t="s">
        <v>22</v>
      </c>
      <c r="L28" t="s">
        <v>23</v>
      </c>
      <c r="M28" t="str">
        <f t="shared" si="2"/>
        <v>1</v>
      </c>
      <c r="O28" t="str">
        <f>CONCATENATE("1 ","")</f>
        <v>1 </v>
      </c>
      <c r="P28">
        <v>25.25</v>
      </c>
      <c r="Q28" t="s">
        <v>24</v>
      </c>
    </row>
    <row r="29" spans="1:17" ht="15">
      <c r="A29" t="s">
        <v>17</v>
      </c>
      <c r="B29" s="1">
        <v>43152</v>
      </c>
      <c r="C29" t="s">
        <v>18</v>
      </c>
      <c r="D29" t="str">
        <f>CONCATENATE("0070017754","")</f>
        <v>0070017754</v>
      </c>
      <c r="E29" t="str">
        <f>CONCATENATE("0010405000187       ","")</f>
        <v>0010405000187       </v>
      </c>
      <c r="F29" t="str">
        <f>CONCATENATE("605626065","")</f>
        <v>605626065</v>
      </c>
      <c r="G29" t="s">
        <v>61</v>
      </c>
      <c r="H29" t="s">
        <v>75</v>
      </c>
      <c r="I29" t="s">
        <v>76</v>
      </c>
      <c r="J29" t="str">
        <f t="shared" si="0"/>
        <v>080103</v>
      </c>
      <c r="K29" t="s">
        <v>22</v>
      </c>
      <c r="L29" t="s">
        <v>23</v>
      </c>
      <c r="M29" t="str">
        <f t="shared" si="2"/>
        <v>1</v>
      </c>
      <c r="O29" t="str">
        <f>CONCATENATE("1 ","")</f>
        <v>1 </v>
      </c>
      <c r="P29">
        <v>162.3</v>
      </c>
      <c r="Q29" t="s">
        <v>24</v>
      </c>
    </row>
    <row r="30" spans="1:17" ht="15">
      <c r="A30" t="s">
        <v>17</v>
      </c>
      <c r="B30" s="1">
        <v>43152</v>
      </c>
      <c r="C30" t="s">
        <v>18</v>
      </c>
      <c r="D30" t="str">
        <f>CONCATENATE("0070028870","")</f>
        <v>0070028870</v>
      </c>
      <c r="E30" t="str">
        <f>CONCATENATE("0010405000201       ","")</f>
        <v>0010405000201       </v>
      </c>
      <c r="F30" t="str">
        <f>CONCATENATE("607649889","")</f>
        <v>607649889</v>
      </c>
      <c r="G30" t="s">
        <v>77</v>
      </c>
      <c r="H30" t="s">
        <v>78</v>
      </c>
      <c r="I30" t="s">
        <v>79</v>
      </c>
      <c r="J30" t="str">
        <f t="shared" si="0"/>
        <v>080103</v>
      </c>
      <c r="K30" t="s">
        <v>22</v>
      </c>
      <c r="L30" t="s">
        <v>23</v>
      </c>
      <c r="M30" t="str">
        <f t="shared" si="2"/>
        <v>1</v>
      </c>
      <c r="O30" t="str">
        <f>CONCATENATE("2 ","")</f>
        <v>2 </v>
      </c>
      <c r="P30">
        <v>32.75</v>
      </c>
      <c r="Q30" t="s">
        <v>24</v>
      </c>
    </row>
    <row r="31" spans="1:17" ht="15">
      <c r="A31" t="s">
        <v>17</v>
      </c>
      <c r="B31" s="1">
        <v>43152</v>
      </c>
      <c r="C31" t="s">
        <v>18</v>
      </c>
      <c r="D31" t="str">
        <f>CONCATENATE("0070016749","")</f>
        <v>0070016749</v>
      </c>
      <c r="E31" t="str">
        <f>CONCATENATE("0010405000203       ","")</f>
        <v>0010405000203       </v>
      </c>
      <c r="F31" t="str">
        <f>CONCATENATE("606907626","")</f>
        <v>606907626</v>
      </c>
      <c r="G31" t="s">
        <v>77</v>
      </c>
      <c r="H31" t="s">
        <v>80</v>
      </c>
      <c r="I31" t="s">
        <v>81</v>
      </c>
      <c r="J31" t="str">
        <f t="shared" si="0"/>
        <v>080103</v>
      </c>
      <c r="K31" t="s">
        <v>22</v>
      </c>
      <c r="L31" t="s">
        <v>23</v>
      </c>
      <c r="M31" t="str">
        <f t="shared" si="2"/>
        <v>1</v>
      </c>
      <c r="O31" t="str">
        <f>CONCATENATE("1 ","")</f>
        <v>1 </v>
      </c>
      <c r="P31">
        <v>55.55</v>
      </c>
      <c r="Q31" t="s">
        <v>24</v>
      </c>
    </row>
    <row r="32" spans="1:17" ht="15">
      <c r="A32" t="s">
        <v>17</v>
      </c>
      <c r="B32" s="1">
        <v>43152</v>
      </c>
      <c r="C32" t="s">
        <v>18</v>
      </c>
      <c r="D32" t="str">
        <f>CONCATENATE("0070013578","")</f>
        <v>0070013578</v>
      </c>
      <c r="E32" t="str">
        <f>CONCATENATE("0010405000420       ","")</f>
        <v>0010405000420       </v>
      </c>
      <c r="F32" t="str">
        <f>CONCATENATE("0409-559527","")</f>
        <v>0409-559527</v>
      </c>
      <c r="G32" t="s">
        <v>61</v>
      </c>
      <c r="H32" t="s">
        <v>82</v>
      </c>
      <c r="I32" t="s">
        <v>83</v>
      </c>
      <c r="J32" t="str">
        <f t="shared" si="0"/>
        <v>080103</v>
      </c>
      <c r="K32" t="s">
        <v>22</v>
      </c>
      <c r="L32" t="s">
        <v>23</v>
      </c>
      <c r="M32" t="str">
        <f>CONCATENATE("3","")</f>
        <v>3</v>
      </c>
      <c r="O32" t="str">
        <f>CONCATENATE("1 ","")</f>
        <v>1 </v>
      </c>
      <c r="P32">
        <v>163.4</v>
      </c>
      <c r="Q32" t="s">
        <v>51</v>
      </c>
    </row>
    <row r="33" spans="1:17" ht="15">
      <c r="A33" t="s">
        <v>17</v>
      </c>
      <c r="B33" s="1">
        <v>43152</v>
      </c>
      <c r="C33" t="s">
        <v>18</v>
      </c>
      <c r="D33" t="str">
        <f>CONCATENATE("0070019397","")</f>
        <v>0070019397</v>
      </c>
      <c r="E33" t="str">
        <f>CONCATENATE("0010406000003       ","")</f>
        <v>0010406000003       </v>
      </c>
      <c r="F33" t="str">
        <f>CONCATENATE("507008394","")</f>
        <v>507008394</v>
      </c>
      <c r="G33" t="s">
        <v>77</v>
      </c>
      <c r="H33" t="s">
        <v>84</v>
      </c>
      <c r="I33" t="s">
        <v>85</v>
      </c>
      <c r="J33" t="str">
        <f t="shared" si="0"/>
        <v>080103</v>
      </c>
      <c r="K33" t="s">
        <v>22</v>
      </c>
      <c r="L33" t="s">
        <v>23</v>
      </c>
      <c r="M33" t="str">
        <f>CONCATENATE("3","")</f>
        <v>3</v>
      </c>
      <c r="O33" t="str">
        <f>CONCATENATE("2 ","")</f>
        <v>2 </v>
      </c>
      <c r="P33">
        <v>234.75</v>
      </c>
      <c r="Q33" t="s">
        <v>51</v>
      </c>
    </row>
    <row r="34" spans="1:17" ht="15">
      <c r="A34" t="s">
        <v>17</v>
      </c>
      <c r="B34" s="1">
        <v>43152</v>
      </c>
      <c r="C34" t="s">
        <v>18</v>
      </c>
      <c r="D34" t="str">
        <f>CONCATENATE("0070021494","")</f>
        <v>0070021494</v>
      </c>
      <c r="E34" t="str">
        <f>CONCATENATE("0010406000317       ","")</f>
        <v>0010406000317       </v>
      </c>
      <c r="F34" t="str">
        <f>CONCATENATE("1935506","")</f>
        <v>1935506</v>
      </c>
      <c r="G34" t="s">
        <v>77</v>
      </c>
      <c r="H34" t="s">
        <v>86</v>
      </c>
      <c r="I34" t="s">
        <v>87</v>
      </c>
      <c r="J34" t="str">
        <f t="shared" si="0"/>
        <v>080103</v>
      </c>
      <c r="K34" t="s">
        <v>22</v>
      </c>
      <c r="L34" t="s">
        <v>23</v>
      </c>
      <c r="M34" t="str">
        <f aca="true" t="shared" si="3" ref="M34:M48">CONCATENATE("1","")</f>
        <v>1</v>
      </c>
      <c r="O34" t="str">
        <f>CONCATENATE("1 ","")</f>
        <v>1 </v>
      </c>
      <c r="P34">
        <v>150.25</v>
      </c>
      <c r="Q34" t="s">
        <v>24</v>
      </c>
    </row>
    <row r="35" spans="1:17" ht="15">
      <c r="A35" t="s">
        <v>17</v>
      </c>
      <c r="B35" s="1">
        <v>43152</v>
      </c>
      <c r="C35" t="s">
        <v>18</v>
      </c>
      <c r="D35" t="str">
        <f>CONCATENATE("0070015002","")</f>
        <v>0070015002</v>
      </c>
      <c r="E35" t="str">
        <f>CONCATENATE("0010406000350       ","")</f>
        <v>0010406000350       </v>
      </c>
      <c r="F35" t="str">
        <f>CONCATENATE("605054608","")</f>
        <v>605054608</v>
      </c>
      <c r="G35" t="s">
        <v>77</v>
      </c>
      <c r="H35" t="s">
        <v>88</v>
      </c>
      <c r="I35" t="s">
        <v>89</v>
      </c>
      <c r="J35" t="str">
        <f t="shared" si="0"/>
        <v>080103</v>
      </c>
      <c r="K35" t="s">
        <v>22</v>
      </c>
      <c r="L35" t="s">
        <v>23</v>
      </c>
      <c r="M35" t="str">
        <f t="shared" si="3"/>
        <v>1</v>
      </c>
      <c r="O35" t="str">
        <f>CONCATENATE("1 ","")</f>
        <v>1 </v>
      </c>
      <c r="P35">
        <v>46.5</v>
      </c>
      <c r="Q35" t="s">
        <v>24</v>
      </c>
    </row>
    <row r="36" spans="1:17" ht="15">
      <c r="A36" t="s">
        <v>17</v>
      </c>
      <c r="B36" s="1">
        <v>43152</v>
      </c>
      <c r="C36" t="s">
        <v>18</v>
      </c>
      <c r="D36" t="str">
        <f>CONCATENATE("0070014982","")</f>
        <v>0070014982</v>
      </c>
      <c r="E36" t="str">
        <f>CONCATENATE("0010406000520       ","")</f>
        <v>0010406000520       </v>
      </c>
      <c r="F36" t="str">
        <f>CONCATENATE("606899485","")</f>
        <v>606899485</v>
      </c>
      <c r="G36" t="s">
        <v>77</v>
      </c>
      <c r="H36" t="s">
        <v>90</v>
      </c>
      <c r="I36" t="s">
        <v>89</v>
      </c>
      <c r="J36" t="str">
        <f t="shared" si="0"/>
        <v>080103</v>
      </c>
      <c r="K36" t="s">
        <v>22</v>
      </c>
      <c r="L36" t="s">
        <v>23</v>
      </c>
      <c r="M36" t="str">
        <f t="shared" si="3"/>
        <v>1</v>
      </c>
      <c r="O36" t="str">
        <f>CONCATENATE("1 ","")</f>
        <v>1 </v>
      </c>
      <c r="P36">
        <v>24.85</v>
      </c>
      <c r="Q36" t="s">
        <v>24</v>
      </c>
    </row>
    <row r="37" spans="1:17" ht="15">
      <c r="A37" t="s">
        <v>17</v>
      </c>
      <c r="B37" s="1">
        <v>43152</v>
      </c>
      <c r="C37" t="s">
        <v>18</v>
      </c>
      <c r="D37" t="str">
        <f>CONCATENATE("0070015004","")</f>
        <v>0070015004</v>
      </c>
      <c r="E37" t="str">
        <f>CONCATENATE("0010406000570       ","")</f>
        <v>0010406000570       </v>
      </c>
      <c r="F37" t="str">
        <f>CONCATENATE("606904690","")</f>
        <v>606904690</v>
      </c>
      <c r="G37" t="s">
        <v>77</v>
      </c>
      <c r="H37" t="s">
        <v>91</v>
      </c>
      <c r="I37" t="s">
        <v>92</v>
      </c>
      <c r="J37" t="str">
        <f t="shared" si="0"/>
        <v>080103</v>
      </c>
      <c r="K37" t="s">
        <v>22</v>
      </c>
      <c r="L37" t="s">
        <v>23</v>
      </c>
      <c r="M37" t="str">
        <f t="shared" si="3"/>
        <v>1</v>
      </c>
      <c r="O37" t="str">
        <f>CONCATENATE("2 ","")</f>
        <v>2 </v>
      </c>
      <c r="P37">
        <v>216</v>
      </c>
      <c r="Q37" t="s">
        <v>24</v>
      </c>
    </row>
    <row r="38" spans="1:17" ht="15">
      <c r="A38" t="s">
        <v>17</v>
      </c>
      <c r="B38" s="1">
        <v>43152</v>
      </c>
      <c r="C38" t="s">
        <v>18</v>
      </c>
      <c r="D38" t="str">
        <f>CONCATENATE("0070019402","")</f>
        <v>0070019402</v>
      </c>
      <c r="E38" t="str">
        <f>CONCATENATE("0010406000820       ","")</f>
        <v>0010406000820       </v>
      </c>
      <c r="F38" t="str">
        <f>CONCATENATE("605931572","")</f>
        <v>605931572</v>
      </c>
      <c r="G38" t="s">
        <v>77</v>
      </c>
      <c r="H38" t="s">
        <v>93</v>
      </c>
      <c r="I38" t="s">
        <v>94</v>
      </c>
      <c r="J38" t="str">
        <f t="shared" si="0"/>
        <v>080103</v>
      </c>
      <c r="K38" t="s">
        <v>22</v>
      </c>
      <c r="L38" t="s">
        <v>23</v>
      </c>
      <c r="M38" t="str">
        <f t="shared" si="3"/>
        <v>1</v>
      </c>
      <c r="O38" t="str">
        <f>CONCATENATE("1 ","")</f>
        <v>1 </v>
      </c>
      <c r="P38">
        <v>12.9</v>
      </c>
      <c r="Q38" t="s">
        <v>24</v>
      </c>
    </row>
    <row r="39" spans="1:17" ht="15">
      <c r="A39" t="s">
        <v>17</v>
      </c>
      <c r="B39" s="1">
        <v>43152</v>
      </c>
      <c r="C39" t="s">
        <v>18</v>
      </c>
      <c r="D39" t="str">
        <f>CONCATENATE("0070027353","")</f>
        <v>0070027353</v>
      </c>
      <c r="E39" t="str">
        <f>CONCATENATE("0010406000886       ","")</f>
        <v>0010406000886       </v>
      </c>
      <c r="F39" t="str">
        <f>CONCATENATE("607307035","")</f>
        <v>607307035</v>
      </c>
      <c r="G39" t="s">
        <v>77</v>
      </c>
      <c r="H39" t="s">
        <v>95</v>
      </c>
      <c r="I39" t="s">
        <v>67</v>
      </c>
      <c r="J39" t="str">
        <f t="shared" si="0"/>
        <v>080103</v>
      </c>
      <c r="K39" t="s">
        <v>22</v>
      </c>
      <c r="L39" t="s">
        <v>23</v>
      </c>
      <c r="M39" t="str">
        <f t="shared" si="3"/>
        <v>1</v>
      </c>
      <c r="O39" t="str">
        <f>CONCATENATE("1 ","")</f>
        <v>1 </v>
      </c>
      <c r="P39">
        <v>38.4</v>
      </c>
      <c r="Q39" t="s">
        <v>24</v>
      </c>
    </row>
    <row r="40" spans="1:17" ht="15">
      <c r="A40" t="s">
        <v>17</v>
      </c>
      <c r="B40" s="1">
        <v>43152</v>
      </c>
      <c r="C40" t="s">
        <v>18</v>
      </c>
      <c r="D40" t="str">
        <f>CONCATENATE("0070015009","")</f>
        <v>0070015009</v>
      </c>
      <c r="E40" t="str">
        <f>CONCATENATE("0010406001130       ","")</f>
        <v>0010406001130       </v>
      </c>
      <c r="F40" t="str">
        <f>CONCATENATE("606904683","")</f>
        <v>606904683</v>
      </c>
      <c r="G40" t="s">
        <v>77</v>
      </c>
      <c r="H40" t="s">
        <v>96</v>
      </c>
      <c r="I40" t="s">
        <v>89</v>
      </c>
      <c r="J40" t="str">
        <f t="shared" si="0"/>
        <v>080103</v>
      </c>
      <c r="K40" t="s">
        <v>22</v>
      </c>
      <c r="L40" t="s">
        <v>23</v>
      </c>
      <c r="M40" t="str">
        <f t="shared" si="3"/>
        <v>1</v>
      </c>
      <c r="O40" t="str">
        <f>CONCATENATE("1 ","")</f>
        <v>1 </v>
      </c>
      <c r="P40">
        <v>40.55</v>
      </c>
      <c r="Q40" t="s">
        <v>24</v>
      </c>
    </row>
    <row r="41" spans="1:17" ht="15">
      <c r="A41" t="s">
        <v>17</v>
      </c>
      <c r="B41" s="1">
        <v>43152</v>
      </c>
      <c r="C41" t="s">
        <v>18</v>
      </c>
      <c r="D41" t="str">
        <f>CONCATENATE("0070015277","")</f>
        <v>0070015277</v>
      </c>
      <c r="E41" t="str">
        <f>CONCATENATE("0010406001186       ","")</f>
        <v>0010406001186       </v>
      </c>
      <c r="F41" t="str">
        <f>CONCATENATE("606899472","")</f>
        <v>606899472</v>
      </c>
      <c r="G41" t="s">
        <v>77</v>
      </c>
      <c r="H41" t="s">
        <v>97</v>
      </c>
      <c r="I41" t="s">
        <v>98</v>
      </c>
      <c r="J41" t="str">
        <f t="shared" si="0"/>
        <v>080103</v>
      </c>
      <c r="K41" t="s">
        <v>22</v>
      </c>
      <c r="L41" t="s">
        <v>23</v>
      </c>
      <c r="M41" t="str">
        <f t="shared" si="3"/>
        <v>1</v>
      </c>
      <c r="O41" t="str">
        <f>CONCATENATE("2 ","")</f>
        <v>2 </v>
      </c>
      <c r="P41">
        <v>102.3</v>
      </c>
      <c r="Q41" t="s">
        <v>24</v>
      </c>
    </row>
    <row r="42" spans="1:17" ht="15">
      <c r="A42" t="s">
        <v>17</v>
      </c>
      <c r="B42" s="1">
        <v>43152</v>
      </c>
      <c r="C42" t="s">
        <v>18</v>
      </c>
      <c r="D42" t="str">
        <f>CONCATENATE("0070015215","")</f>
        <v>0070015215</v>
      </c>
      <c r="E42" t="str">
        <f>CONCATENATE("0010407000133       ","")</f>
        <v>0010407000133       </v>
      </c>
      <c r="F42" t="str">
        <f>CONCATENATE("606904708","")</f>
        <v>606904708</v>
      </c>
      <c r="G42" t="s">
        <v>77</v>
      </c>
      <c r="H42" t="s">
        <v>99</v>
      </c>
      <c r="I42" t="s">
        <v>98</v>
      </c>
      <c r="J42" t="str">
        <f t="shared" si="0"/>
        <v>080103</v>
      </c>
      <c r="K42" t="s">
        <v>22</v>
      </c>
      <c r="L42" t="s">
        <v>23</v>
      </c>
      <c r="M42" t="str">
        <f t="shared" si="3"/>
        <v>1</v>
      </c>
      <c r="O42" t="str">
        <f>CONCATENATE("1 ","")</f>
        <v>1 </v>
      </c>
      <c r="P42">
        <v>45.2</v>
      </c>
      <c r="Q42" t="s">
        <v>24</v>
      </c>
    </row>
    <row r="43" spans="1:17" ht="15">
      <c r="A43" t="s">
        <v>17</v>
      </c>
      <c r="B43" s="1">
        <v>43152</v>
      </c>
      <c r="C43" t="s">
        <v>100</v>
      </c>
      <c r="D43" t="str">
        <f>CONCATENATE("0070019937","")</f>
        <v>0070019937</v>
      </c>
      <c r="E43" t="str">
        <f>CONCATENATE("0010412000520       ","")</f>
        <v>0010412000520       </v>
      </c>
      <c r="F43" t="str">
        <f>CONCATENATE("1336590","")</f>
        <v>1336590</v>
      </c>
      <c r="G43" t="s">
        <v>101</v>
      </c>
      <c r="H43" t="s">
        <v>102</v>
      </c>
      <c r="I43" t="s">
        <v>103</v>
      </c>
      <c r="J43" t="str">
        <f>CONCATENATE("080303","")</f>
        <v>080303</v>
      </c>
      <c r="K43" t="s">
        <v>22</v>
      </c>
      <c r="L43" t="s">
        <v>23</v>
      </c>
      <c r="M43" t="str">
        <f t="shared" si="3"/>
        <v>1</v>
      </c>
      <c r="O43" t="str">
        <f>CONCATENATE("2 ","")</f>
        <v>2 </v>
      </c>
      <c r="P43">
        <v>14.05</v>
      </c>
      <c r="Q43" t="s">
        <v>24</v>
      </c>
    </row>
    <row r="44" spans="1:17" ht="15">
      <c r="A44" t="s">
        <v>17</v>
      </c>
      <c r="B44" s="1">
        <v>43152</v>
      </c>
      <c r="C44" t="s">
        <v>104</v>
      </c>
      <c r="D44" t="str">
        <f>CONCATENATE("0070023109","")</f>
        <v>0070023109</v>
      </c>
      <c r="E44" t="str">
        <f>CONCATENATE("0010416000050       ","")</f>
        <v>0010416000050       </v>
      </c>
      <c r="F44" t="str">
        <f>CONCATENATE("8245324","")</f>
        <v>8245324</v>
      </c>
      <c r="G44" t="s">
        <v>105</v>
      </c>
      <c r="H44" t="s">
        <v>106</v>
      </c>
      <c r="I44" t="s">
        <v>107</v>
      </c>
      <c r="J44" t="str">
        <f>CONCATENATE("080303","")</f>
        <v>080303</v>
      </c>
      <c r="K44" t="s">
        <v>22</v>
      </c>
      <c r="L44" t="s">
        <v>23</v>
      </c>
      <c r="M44" t="str">
        <f t="shared" si="3"/>
        <v>1</v>
      </c>
      <c r="O44" t="str">
        <f>CONCATENATE("1 ","")</f>
        <v>1 </v>
      </c>
      <c r="P44">
        <v>11.75</v>
      </c>
      <c r="Q44" t="s">
        <v>24</v>
      </c>
    </row>
    <row r="45" spans="1:17" ht="15">
      <c r="A45" t="s">
        <v>17</v>
      </c>
      <c r="B45" s="1">
        <v>43152</v>
      </c>
      <c r="C45" t="s">
        <v>104</v>
      </c>
      <c r="D45" t="str">
        <f>CONCATENATE("0070026890","")</f>
        <v>0070026890</v>
      </c>
      <c r="E45" t="str">
        <f>CONCATENATE("0010416000210       ","")</f>
        <v>0010416000210       </v>
      </c>
      <c r="F45" t="str">
        <f>CONCATENATE("606903868","")</f>
        <v>606903868</v>
      </c>
      <c r="G45" t="s">
        <v>105</v>
      </c>
      <c r="H45" t="s">
        <v>108</v>
      </c>
      <c r="I45" t="s">
        <v>109</v>
      </c>
      <c r="J45" t="str">
        <f>CONCATENATE("080303","")</f>
        <v>080303</v>
      </c>
      <c r="K45" t="s">
        <v>22</v>
      </c>
      <c r="L45" t="s">
        <v>23</v>
      </c>
      <c r="M45" t="str">
        <f t="shared" si="3"/>
        <v>1</v>
      </c>
      <c r="O45" t="str">
        <f>CONCATENATE("3 ","")</f>
        <v>3 </v>
      </c>
      <c r="P45">
        <v>40.85</v>
      </c>
      <c r="Q45" t="s">
        <v>24</v>
      </c>
    </row>
    <row r="46" spans="1:17" ht="15">
      <c r="A46" t="s">
        <v>17</v>
      </c>
      <c r="B46" s="1">
        <v>43152</v>
      </c>
      <c r="C46" t="s">
        <v>104</v>
      </c>
      <c r="D46" t="str">
        <f>CONCATENATE("0070023112","")</f>
        <v>0070023112</v>
      </c>
      <c r="E46" t="str">
        <f>CONCATENATE("0010416000320       ","")</f>
        <v>0010416000320       </v>
      </c>
      <c r="F46" t="str">
        <f>CONCATENATE("8245317","")</f>
        <v>8245317</v>
      </c>
      <c r="G46" t="s">
        <v>105</v>
      </c>
      <c r="H46" t="s">
        <v>110</v>
      </c>
      <c r="I46" t="s">
        <v>107</v>
      </c>
      <c r="J46" t="str">
        <f>CONCATENATE("080303","")</f>
        <v>080303</v>
      </c>
      <c r="K46" t="s">
        <v>22</v>
      </c>
      <c r="L46" t="s">
        <v>23</v>
      </c>
      <c r="M46" t="str">
        <f t="shared" si="3"/>
        <v>1</v>
      </c>
      <c r="O46" t="str">
        <f>CONCATENATE("2 ","")</f>
        <v>2 </v>
      </c>
      <c r="P46">
        <v>167.35</v>
      </c>
      <c r="Q46" t="s">
        <v>24</v>
      </c>
    </row>
    <row r="47" spans="1:17" ht="15">
      <c r="A47" t="s">
        <v>17</v>
      </c>
      <c r="B47" s="1">
        <v>43152</v>
      </c>
      <c r="C47" t="s">
        <v>111</v>
      </c>
      <c r="D47" t="str">
        <f>CONCATENATE("0070000240","")</f>
        <v>0070000240</v>
      </c>
      <c r="E47" t="str">
        <f>CONCATENATE("0030101000015       ","")</f>
        <v>0030101000015       </v>
      </c>
      <c r="F47" t="str">
        <f>CONCATENATE("605158272","")</f>
        <v>605158272</v>
      </c>
      <c r="G47" t="s">
        <v>112</v>
      </c>
      <c r="H47" t="s">
        <v>113</v>
      </c>
      <c r="I47" t="s">
        <v>114</v>
      </c>
      <c r="J47" t="str">
        <f aca="true" t="shared" si="4" ref="J47:J78">CONCATENATE("080301","")</f>
        <v>080301</v>
      </c>
      <c r="K47" t="s">
        <v>22</v>
      </c>
      <c r="L47" t="s">
        <v>23</v>
      </c>
      <c r="M47" t="str">
        <f t="shared" si="3"/>
        <v>1</v>
      </c>
      <c r="O47" t="str">
        <f aca="true" t="shared" si="5" ref="O47:O63">CONCATENATE("1 ","")</f>
        <v>1 </v>
      </c>
      <c r="P47">
        <v>22.15</v>
      </c>
      <c r="Q47" t="s">
        <v>24</v>
      </c>
    </row>
    <row r="48" spans="1:17" ht="15">
      <c r="A48" t="s">
        <v>17</v>
      </c>
      <c r="B48" s="1">
        <v>43152</v>
      </c>
      <c r="C48" t="s">
        <v>111</v>
      </c>
      <c r="D48" t="str">
        <f>CONCATENATE("0070015432","")</f>
        <v>0070015432</v>
      </c>
      <c r="E48" t="str">
        <f>CONCATENATE("0030101000157       ","")</f>
        <v>0030101000157       </v>
      </c>
      <c r="F48" t="str">
        <f>CONCATENATE("605119826","")</f>
        <v>605119826</v>
      </c>
      <c r="G48" t="s">
        <v>112</v>
      </c>
      <c r="H48" t="s">
        <v>115</v>
      </c>
      <c r="I48" t="s">
        <v>116</v>
      </c>
      <c r="J48" t="str">
        <f t="shared" si="4"/>
        <v>080301</v>
      </c>
      <c r="K48" t="s">
        <v>22</v>
      </c>
      <c r="L48" t="s">
        <v>23</v>
      </c>
      <c r="M48" t="str">
        <f t="shared" si="3"/>
        <v>1</v>
      </c>
      <c r="O48" t="str">
        <f t="shared" si="5"/>
        <v>1 </v>
      </c>
      <c r="P48">
        <v>13.7</v>
      </c>
      <c r="Q48" t="s">
        <v>24</v>
      </c>
    </row>
    <row r="49" spans="1:17" ht="15">
      <c r="A49" t="s">
        <v>17</v>
      </c>
      <c r="B49" s="1">
        <v>43152</v>
      </c>
      <c r="C49" t="s">
        <v>111</v>
      </c>
      <c r="D49" t="str">
        <f>CONCATENATE("0070021204","")</f>
        <v>0070021204</v>
      </c>
      <c r="E49" t="str">
        <f>CONCATENATE("0030101000223       ","")</f>
        <v>0030101000223       </v>
      </c>
      <c r="F49" t="str">
        <f>CONCATENATE("507000814","")</f>
        <v>507000814</v>
      </c>
      <c r="G49" t="s">
        <v>112</v>
      </c>
      <c r="H49" t="s">
        <v>117</v>
      </c>
      <c r="I49" t="s">
        <v>118</v>
      </c>
      <c r="J49" t="str">
        <f t="shared" si="4"/>
        <v>080301</v>
      </c>
      <c r="K49" t="s">
        <v>22</v>
      </c>
      <c r="L49" t="s">
        <v>23</v>
      </c>
      <c r="M49" t="str">
        <f>CONCATENATE("3","")</f>
        <v>3</v>
      </c>
      <c r="O49" t="str">
        <f t="shared" si="5"/>
        <v>1 </v>
      </c>
      <c r="P49">
        <v>33.05</v>
      </c>
      <c r="Q49" t="s">
        <v>51</v>
      </c>
    </row>
    <row r="50" spans="1:17" ht="15">
      <c r="A50" t="s">
        <v>17</v>
      </c>
      <c r="B50" s="1">
        <v>43152</v>
      </c>
      <c r="C50" t="s">
        <v>111</v>
      </c>
      <c r="D50" t="str">
        <f>CONCATENATE("0070000308","")</f>
        <v>0070000308</v>
      </c>
      <c r="E50" t="str">
        <f>CONCATENATE("0030101000325       ","")</f>
        <v>0030101000325       </v>
      </c>
      <c r="F50" t="str">
        <f>CONCATENATE("605230983","")</f>
        <v>605230983</v>
      </c>
      <c r="G50" t="s">
        <v>112</v>
      </c>
      <c r="H50" t="s">
        <v>119</v>
      </c>
      <c r="I50" t="s">
        <v>120</v>
      </c>
      <c r="J50" t="str">
        <f t="shared" si="4"/>
        <v>080301</v>
      </c>
      <c r="K50" t="s">
        <v>22</v>
      </c>
      <c r="L50" t="s">
        <v>23</v>
      </c>
      <c r="M50" t="str">
        <f aca="true" t="shared" si="6" ref="M50:M79">CONCATENATE("1","")</f>
        <v>1</v>
      </c>
      <c r="O50" t="str">
        <f t="shared" si="5"/>
        <v>1 </v>
      </c>
      <c r="P50">
        <v>63.15</v>
      </c>
      <c r="Q50" t="s">
        <v>24</v>
      </c>
    </row>
    <row r="51" spans="1:17" ht="15">
      <c r="A51" t="s">
        <v>17</v>
      </c>
      <c r="B51" s="1">
        <v>43152</v>
      </c>
      <c r="C51" t="s">
        <v>111</v>
      </c>
      <c r="D51" t="str">
        <f>CONCATENATE("0070000344","")</f>
        <v>0070000344</v>
      </c>
      <c r="E51" t="str">
        <f>CONCATENATE("0030102000080       ","")</f>
        <v>0030102000080       </v>
      </c>
      <c r="F51" t="str">
        <f>CONCATENATE("606757427","")</f>
        <v>606757427</v>
      </c>
      <c r="G51" t="s">
        <v>121</v>
      </c>
      <c r="H51" t="s">
        <v>122</v>
      </c>
      <c r="I51" t="s">
        <v>123</v>
      </c>
      <c r="J51" t="str">
        <f t="shared" si="4"/>
        <v>080301</v>
      </c>
      <c r="K51" t="s">
        <v>22</v>
      </c>
      <c r="L51" t="s">
        <v>23</v>
      </c>
      <c r="M51" t="str">
        <f t="shared" si="6"/>
        <v>1</v>
      </c>
      <c r="O51" t="str">
        <f t="shared" si="5"/>
        <v>1 </v>
      </c>
      <c r="P51">
        <v>27.75</v>
      </c>
      <c r="Q51" t="s">
        <v>24</v>
      </c>
    </row>
    <row r="52" spans="1:17" ht="15">
      <c r="A52" t="s">
        <v>17</v>
      </c>
      <c r="B52" s="1">
        <v>43152</v>
      </c>
      <c r="C52" t="s">
        <v>111</v>
      </c>
      <c r="D52" t="str">
        <f>CONCATENATE("0070000349","")</f>
        <v>0070000349</v>
      </c>
      <c r="E52" t="str">
        <f>CONCATENATE("0030102000130       ","")</f>
        <v>0030102000130       </v>
      </c>
      <c r="F52" t="str">
        <f>CONCATENATE("605743346","")</f>
        <v>605743346</v>
      </c>
      <c r="G52" t="s">
        <v>121</v>
      </c>
      <c r="H52" t="s">
        <v>124</v>
      </c>
      <c r="I52" t="s">
        <v>123</v>
      </c>
      <c r="J52" t="str">
        <f t="shared" si="4"/>
        <v>080301</v>
      </c>
      <c r="K52" t="s">
        <v>22</v>
      </c>
      <c r="L52" t="s">
        <v>23</v>
      </c>
      <c r="M52" t="str">
        <f t="shared" si="6"/>
        <v>1</v>
      </c>
      <c r="O52" t="str">
        <f t="shared" si="5"/>
        <v>1 </v>
      </c>
      <c r="P52">
        <v>23.4</v>
      </c>
      <c r="Q52" t="s">
        <v>24</v>
      </c>
    </row>
    <row r="53" spans="1:17" ht="15">
      <c r="A53" t="s">
        <v>17</v>
      </c>
      <c r="B53" s="1">
        <v>43152</v>
      </c>
      <c r="C53" t="s">
        <v>111</v>
      </c>
      <c r="D53" t="str">
        <f>CONCATENATE("0070000356","")</f>
        <v>0070000356</v>
      </c>
      <c r="E53" t="str">
        <f>CONCATENATE("0030102000210       ","")</f>
        <v>0030102000210       </v>
      </c>
      <c r="F53" t="str">
        <f>CONCATENATE("605274858","")</f>
        <v>605274858</v>
      </c>
      <c r="G53" t="s">
        <v>121</v>
      </c>
      <c r="H53" t="s">
        <v>125</v>
      </c>
      <c r="I53" t="s">
        <v>123</v>
      </c>
      <c r="J53" t="str">
        <f t="shared" si="4"/>
        <v>080301</v>
      </c>
      <c r="K53" t="s">
        <v>22</v>
      </c>
      <c r="L53" t="s">
        <v>23</v>
      </c>
      <c r="M53" t="str">
        <f t="shared" si="6"/>
        <v>1</v>
      </c>
      <c r="O53" t="str">
        <f t="shared" si="5"/>
        <v>1 </v>
      </c>
      <c r="P53">
        <v>72.65</v>
      </c>
      <c r="Q53" t="s">
        <v>24</v>
      </c>
    </row>
    <row r="54" spans="1:17" ht="15">
      <c r="A54" t="s">
        <v>17</v>
      </c>
      <c r="B54" s="1">
        <v>43152</v>
      </c>
      <c r="C54" t="s">
        <v>111</v>
      </c>
      <c r="D54" t="str">
        <f>CONCATENATE("0070000369","")</f>
        <v>0070000369</v>
      </c>
      <c r="E54" t="str">
        <f>CONCATENATE("0030102000362       ","")</f>
        <v>0030102000362       </v>
      </c>
      <c r="F54" t="str">
        <f>CONCATENATE("606757430","")</f>
        <v>606757430</v>
      </c>
      <c r="G54" t="s">
        <v>121</v>
      </c>
      <c r="H54" t="s">
        <v>126</v>
      </c>
      <c r="I54" t="s">
        <v>123</v>
      </c>
      <c r="J54" t="str">
        <f t="shared" si="4"/>
        <v>080301</v>
      </c>
      <c r="K54" t="s">
        <v>22</v>
      </c>
      <c r="L54" t="s">
        <v>23</v>
      </c>
      <c r="M54" t="str">
        <f t="shared" si="6"/>
        <v>1</v>
      </c>
      <c r="O54" t="str">
        <f t="shared" si="5"/>
        <v>1 </v>
      </c>
      <c r="P54">
        <v>37.3</v>
      </c>
      <c r="Q54" t="s">
        <v>24</v>
      </c>
    </row>
    <row r="55" spans="1:17" ht="15">
      <c r="A55" t="s">
        <v>17</v>
      </c>
      <c r="B55" s="1">
        <v>43152</v>
      </c>
      <c r="C55" t="s">
        <v>111</v>
      </c>
      <c r="D55" t="str">
        <f>CONCATENATE("0070020309","")</f>
        <v>0070020309</v>
      </c>
      <c r="E55" t="str">
        <f>CONCATENATE("0030119000150       ","")</f>
        <v>0030119000150       </v>
      </c>
      <c r="F55" t="str">
        <f>CONCATENATE("605941155","")</f>
        <v>605941155</v>
      </c>
      <c r="G55" t="s">
        <v>127</v>
      </c>
      <c r="H55" t="s">
        <v>128</v>
      </c>
      <c r="I55" t="s">
        <v>129</v>
      </c>
      <c r="J55" t="str">
        <f t="shared" si="4"/>
        <v>080301</v>
      </c>
      <c r="K55" t="s">
        <v>22</v>
      </c>
      <c r="L55" t="s">
        <v>23</v>
      </c>
      <c r="M55" t="str">
        <f t="shared" si="6"/>
        <v>1</v>
      </c>
      <c r="O55" t="str">
        <f t="shared" si="5"/>
        <v>1 </v>
      </c>
      <c r="P55">
        <v>52.05</v>
      </c>
      <c r="Q55" t="s">
        <v>24</v>
      </c>
    </row>
    <row r="56" spans="1:17" ht="15">
      <c r="A56" t="s">
        <v>17</v>
      </c>
      <c r="B56" s="1">
        <v>43152</v>
      </c>
      <c r="C56" t="s">
        <v>111</v>
      </c>
      <c r="D56" t="str">
        <f>CONCATENATE("0070020481","")</f>
        <v>0070020481</v>
      </c>
      <c r="E56" t="str">
        <f>CONCATENATE("0030119000750       ","")</f>
        <v>0030119000750       </v>
      </c>
      <c r="F56" t="str">
        <f>CONCATENATE("605934385","")</f>
        <v>605934385</v>
      </c>
      <c r="G56" t="s">
        <v>127</v>
      </c>
      <c r="H56" t="s">
        <v>130</v>
      </c>
      <c r="I56" t="s">
        <v>131</v>
      </c>
      <c r="J56" t="str">
        <f t="shared" si="4"/>
        <v>080301</v>
      </c>
      <c r="K56" t="s">
        <v>22</v>
      </c>
      <c r="L56" t="s">
        <v>23</v>
      </c>
      <c r="M56" t="str">
        <f t="shared" si="6"/>
        <v>1</v>
      </c>
      <c r="O56" t="str">
        <f t="shared" si="5"/>
        <v>1 </v>
      </c>
      <c r="P56">
        <v>121.25</v>
      </c>
      <c r="Q56" t="s">
        <v>24</v>
      </c>
    </row>
    <row r="57" spans="1:17" ht="15">
      <c r="A57" t="s">
        <v>17</v>
      </c>
      <c r="B57" s="1">
        <v>43152</v>
      </c>
      <c r="C57" t="s">
        <v>111</v>
      </c>
      <c r="D57" t="str">
        <f>CONCATENATE("0070020317","")</f>
        <v>0070020317</v>
      </c>
      <c r="E57" t="str">
        <f>CONCATENATE("0030119001050       ","")</f>
        <v>0030119001050       </v>
      </c>
      <c r="F57" t="str">
        <f>CONCATENATE("606032016","")</f>
        <v>606032016</v>
      </c>
      <c r="G57" t="s">
        <v>127</v>
      </c>
      <c r="H57" t="s">
        <v>132</v>
      </c>
      <c r="I57" t="s">
        <v>131</v>
      </c>
      <c r="J57" t="str">
        <f t="shared" si="4"/>
        <v>080301</v>
      </c>
      <c r="K57" t="s">
        <v>22</v>
      </c>
      <c r="L57" t="s">
        <v>23</v>
      </c>
      <c r="M57" t="str">
        <f t="shared" si="6"/>
        <v>1</v>
      </c>
      <c r="O57" t="str">
        <f t="shared" si="5"/>
        <v>1 </v>
      </c>
      <c r="P57">
        <v>89.9</v>
      </c>
      <c r="Q57" t="s">
        <v>24</v>
      </c>
    </row>
    <row r="58" spans="1:17" ht="15">
      <c r="A58" t="s">
        <v>17</v>
      </c>
      <c r="B58" s="1">
        <v>43152</v>
      </c>
      <c r="C58" t="s">
        <v>111</v>
      </c>
      <c r="D58" t="str">
        <f>CONCATENATE("0070017431","")</f>
        <v>0070017431</v>
      </c>
      <c r="E58" t="str">
        <f>CONCATENATE("0030120001185       ","")</f>
        <v>0030120001185       </v>
      </c>
      <c r="F58" t="str">
        <f>CONCATENATE("606673060","")</f>
        <v>606673060</v>
      </c>
      <c r="G58" t="s">
        <v>133</v>
      </c>
      <c r="H58" t="s">
        <v>134</v>
      </c>
      <c r="I58" t="s">
        <v>135</v>
      </c>
      <c r="J58" t="str">
        <f t="shared" si="4"/>
        <v>080301</v>
      </c>
      <c r="K58" t="s">
        <v>22</v>
      </c>
      <c r="L58" t="s">
        <v>23</v>
      </c>
      <c r="M58" t="str">
        <f t="shared" si="6"/>
        <v>1</v>
      </c>
      <c r="O58" t="str">
        <f t="shared" si="5"/>
        <v>1 </v>
      </c>
      <c r="P58">
        <v>58.8</v>
      </c>
      <c r="Q58" t="s">
        <v>24</v>
      </c>
    </row>
    <row r="59" spans="1:17" ht="15">
      <c r="A59" t="s">
        <v>17</v>
      </c>
      <c r="B59" s="1">
        <v>43152</v>
      </c>
      <c r="C59" t="s">
        <v>111</v>
      </c>
      <c r="D59" t="str">
        <f>CONCATENATE("0070028142","")</f>
        <v>0070028142</v>
      </c>
      <c r="E59" t="str">
        <f>CONCATENATE("0030125000225       ","")</f>
        <v>0030125000225       </v>
      </c>
      <c r="F59" t="str">
        <f>CONCATENATE("607541636","")</f>
        <v>607541636</v>
      </c>
      <c r="G59" t="s">
        <v>136</v>
      </c>
      <c r="H59" t="s">
        <v>137</v>
      </c>
      <c r="I59" t="s">
        <v>138</v>
      </c>
      <c r="J59" t="str">
        <f t="shared" si="4"/>
        <v>080301</v>
      </c>
      <c r="K59" t="s">
        <v>22</v>
      </c>
      <c r="L59" t="s">
        <v>23</v>
      </c>
      <c r="M59" t="str">
        <f t="shared" si="6"/>
        <v>1</v>
      </c>
      <c r="O59" t="str">
        <f t="shared" si="5"/>
        <v>1 </v>
      </c>
      <c r="P59">
        <v>31.7</v>
      </c>
      <c r="Q59" t="s">
        <v>24</v>
      </c>
    </row>
    <row r="60" spans="1:17" ht="15">
      <c r="A60" t="s">
        <v>17</v>
      </c>
      <c r="B60" s="1">
        <v>43152</v>
      </c>
      <c r="C60" t="s">
        <v>111</v>
      </c>
      <c r="D60" t="str">
        <f>CONCATENATE("0070016209","")</f>
        <v>0070016209</v>
      </c>
      <c r="E60" t="str">
        <f>CONCATENATE("0030125000685       ","")</f>
        <v>0030125000685       </v>
      </c>
      <c r="F60" t="str">
        <f>CONCATENATE("605278747","")</f>
        <v>605278747</v>
      </c>
      <c r="G60" t="s">
        <v>136</v>
      </c>
      <c r="H60" t="s">
        <v>139</v>
      </c>
      <c r="I60" t="s">
        <v>140</v>
      </c>
      <c r="J60" t="str">
        <f t="shared" si="4"/>
        <v>080301</v>
      </c>
      <c r="K60" t="s">
        <v>22</v>
      </c>
      <c r="L60" t="s">
        <v>23</v>
      </c>
      <c r="M60" t="str">
        <f t="shared" si="6"/>
        <v>1</v>
      </c>
      <c r="O60" t="str">
        <f t="shared" si="5"/>
        <v>1 </v>
      </c>
      <c r="P60">
        <v>18.25</v>
      </c>
      <c r="Q60" t="s">
        <v>24</v>
      </c>
    </row>
    <row r="61" spans="1:17" ht="15">
      <c r="A61" t="s">
        <v>17</v>
      </c>
      <c r="B61" s="1">
        <v>43152</v>
      </c>
      <c r="C61" t="s">
        <v>111</v>
      </c>
      <c r="D61" t="str">
        <f>CONCATENATE("0070014803","")</f>
        <v>0070014803</v>
      </c>
      <c r="E61" t="str">
        <f>CONCATENATE("0030125000875       ","")</f>
        <v>0030125000875       </v>
      </c>
      <c r="F61" t="str">
        <f>CONCATENATE("606669893","")</f>
        <v>606669893</v>
      </c>
      <c r="G61" t="s">
        <v>136</v>
      </c>
      <c r="H61" t="s">
        <v>141</v>
      </c>
      <c r="I61" t="s">
        <v>142</v>
      </c>
      <c r="J61" t="str">
        <f t="shared" si="4"/>
        <v>080301</v>
      </c>
      <c r="K61" t="s">
        <v>22</v>
      </c>
      <c r="L61" t="s">
        <v>23</v>
      </c>
      <c r="M61" t="str">
        <f t="shared" si="6"/>
        <v>1</v>
      </c>
      <c r="O61" t="str">
        <f t="shared" si="5"/>
        <v>1 </v>
      </c>
      <c r="P61">
        <v>58.9</v>
      </c>
      <c r="Q61" t="s">
        <v>24</v>
      </c>
    </row>
    <row r="62" spans="1:17" ht="15">
      <c r="A62" t="s">
        <v>17</v>
      </c>
      <c r="B62" s="1">
        <v>43152</v>
      </c>
      <c r="C62" t="s">
        <v>111</v>
      </c>
      <c r="D62" t="str">
        <f>CONCATENATE("0070000599","")</f>
        <v>0070000599</v>
      </c>
      <c r="E62" t="str">
        <f>CONCATENATE("0030125000942       ","")</f>
        <v>0030125000942       </v>
      </c>
      <c r="F62" t="str">
        <f>CONCATENATE("1942014","")</f>
        <v>1942014</v>
      </c>
      <c r="G62" t="s">
        <v>136</v>
      </c>
      <c r="H62" t="s">
        <v>143</v>
      </c>
      <c r="I62" t="s">
        <v>144</v>
      </c>
      <c r="J62" t="str">
        <f t="shared" si="4"/>
        <v>080301</v>
      </c>
      <c r="K62" t="s">
        <v>22</v>
      </c>
      <c r="L62" t="s">
        <v>23</v>
      </c>
      <c r="M62" t="str">
        <f t="shared" si="6"/>
        <v>1</v>
      </c>
      <c r="O62" t="str">
        <f t="shared" si="5"/>
        <v>1 </v>
      </c>
      <c r="P62">
        <v>14</v>
      </c>
      <c r="Q62" t="s">
        <v>24</v>
      </c>
    </row>
    <row r="63" spans="1:17" ht="15">
      <c r="A63" t="s">
        <v>17</v>
      </c>
      <c r="B63" s="1">
        <v>43152</v>
      </c>
      <c r="C63" t="s">
        <v>111</v>
      </c>
      <c r="D63" t="str">
        <f>CONCATENATE("0070000608","")</f>
        <v>0070000608</v>
      </c>
      <c r="E63" t="str">
        <f>CONCATENATE("0030125001000       ","")</f>
        <v>0030125001000       </v>
      </c>
      <c r="F63" t="str">
        <f>CONCATENATE("605088312","")</f>
        <v>605088312</v>
      </c>
      <c r="G63" t="s">
        <v>136</v>
      </c>
      <c r="H63" t="s">
        <v>145</v>
      </c>
      <c r="I63" t="s">
        <v>146</v>
      </c>
      <c r="J63" t="str">
        <f t="shared" si="4"/>
        <v>080301</v>
      </c>
      <c r="K63" t="s">
        <v>22</v>
      </c>
      <c r="L63" t="s">
        <v>23</v>
      </c>
      <c r="M63" t="str">
        <f t="shared" si="6"/>
        <v>1</v>
      </c>
      <c r="O63" t="str">
        <f t="shared" si="5"/>
        <v>1 </v>
      </c>
      <c r="P63">
        <v>84.05</v>
      </c>
      <c r="Q63" t="s">
        <v>24</v>
      </c>
    </row>
    <row r="64" spans="1:17" ht="15">
      <c r="A64" t="s">
        <v>17</v>
      </c>
      <c r="B64" s="1">
        <v>43152</v>
      </c>
      <c r="C64" t="s">
        <v>111</v>
      </c>
      <c r="D64" t="str">
        <f>CONCATENATE("0070010276","")</f>
        <v>0070010276</v>
      </c>
      <c r="E64" t="str">
        <f>CONCATENATE("0030126000380       ","")</f>
        <v>0030126000380       </v>
      </c>
      <c r="F64" t="str">
        <f>CONCATENATE("605630706","")</f>
        <v>605630706</v>
      </c>
      <c r="G64" t="s">
        <v>147</v>
      </c>
      <c r="H64" t="s">
        <v>148</v>
      </c>
      <c r="I64" t="s">
        <v>144</v>
      </c>
      <c r="J64" t="str">
        <f t="shared" si="4"/>
        <v>080301</v>
      </c>
      <c r="K64" t="s">
        <v>22</v>
      </c>
      <c r="L64" t="s">
        <v>23</v>
      </c>
      <c r="M64" t="str">
        <f t="shared" si="6"/>
        <v>1</v>
      </c>
      <c r="O64" t="str">
        <f>CONCATENATE("2 ","")</f>
        <v>2 </v>
      </c>
      <c r="P64">
        <v>152.25</v>
      </c>
      <c r="Q64" t="s">
        <v>24</v>
      </c>
    </row>
    <row r="65" spans="1:17" ht="15">
      <c r="A65" t="s">
        <v>17</v>
      </c>
      <c r="B65" s="1">
        <v>43152</v>
      </c>
      <c r="C65" t="s">
        <v>111</v>
      </c>
      <c r="D65" t="str">
        <f>CONCATENATE("0070020716","")</f>
        <v>0070020716</v>
      </c>
      <c r="E65" t="str">
        <f>CONCATENATE("0030126003070       ","")</f>
        <v>0030126003070       </v>
      </c>
      <c r="F65" t="str">
        <f>CONCATENATE("1604951","")</f>
        <v>1604951</v>
      </c>
      <c r="G65" t="s">
        <v>149</v>
      </c>
      <c r="H65" t="s">
        <v>150</v>
      </c>
      <c r="I65" t="s">
        <v>151</v>
      </c>
      <c r="J65" t="str">
        <f t="shared" si="4"/>
        <v>080301</v>
      </c>
      <c r="K65" t="s">
        <v>22</v>
      </c>
      <c r="L65" t="s">
        <v>23</v>
      </c>
      <c r="M65" t="str">
        <f t="shared" si="6"/>
        <v>1</v>
      </c>
      <c r="O65" t="str">
        <f>CONCATENATE("2 ","")</f>
        <v>2 </v>
      </c>
      <c r="P65">
        <v>27.2</v>
      </c>
      <c r="Q65" t="s">
        <v>24</v>
      </c>
    </row>
    <row r="66" spans="1:17" ht="15">
      <c r="A66" t="s">
        <v>17</v>
      </c>
      <c r="B66" s="1">
        <v>43152</v>
      </c>
      <c r="C66" t="s">
        <v>111</v>
      </c>
      <c r="D66" t="str">
        <f>CONCATENATE("0070000714","")</f>
        <v>0070000714</v>
      </c>
      <c r="E66" t="str">
        <f>CONCATENATE("0030130000410       ","")</f>
        <v>0030130000410       </v>
      </c>
      <c r="F66" t="str">
        <f>CONCATENATE("605281026","")</f>
        <v>605281026</v>
      </c>
      <c r="G66" t="s">
        <v>152</v>
      </c>
      <c r="H66" t="s">
        <v>153</v>
      </c>
      <c r="I66" t="s">
        <v>154</v>
      </c>
      <c r="J66" t="str">
        <f t="shared" si="4"/>
        <v>080301</v>
      </c>
      <c r="K66" t="s">
        <v>22</v>
      </c>
      <c r="L66" t="s">
        <v>23</v>
      </c>
      <c r="M66" t="str">
        <f t="shared" si="6"/>
        <v>1</v>
      </c>
      <c r="O66" t="str">
        <f>CONCATENATE("1 ","")</f>
        <v>1 </v>
      </c>
      <c r="P66">
        <v>11.15</v>
      </c>
      <c r="Q66" t="s">
        <v>24</v>
      </c>
    </row>
    <row r="67" spans="1:17" ht="15">
      <c r="A67" t="s">
        <v>17</v>
      </c>
      <c r="B67" s="1">
        <v>43152</v>
      </c>
      <c r="C67" t="s">
        <v>111</v>
      </c>
      <c r="D67" t="str">
        <f>CONCATENATE("0070000721","")</f>
        <v>0070000721</v>
      </c>
      <c r="E67" t="str">
        <f>CONCATENATE("0030130000460       ","")</f>
        <v>0030130000460       </v>
      </c>
      <c r="F67" t="str">
        <f>CONCATENATE("605284820","")</f>
        <v>605284820</v>
      </c>
      <c r="G67" t="s">
        <v>152</v>
      </c>
      <c r="H67" t="s">
        <v>155</v>
      </c>
      <c r="I67" t="s">
        <v>154</v>
      </c>
      <c r="J67" t="str">
        <f t="shared" si="4"/>
        <v>080301</v>
      </c>
      <c r="K67" t="s">
        <v>22</v>
      </c>
      <c r="L67" t="s">
        <v>23</v>
      </c>
      <c r="M67" t="str">
        <f t="shared" si="6"/>
        <v>1</v>
      </c>
      <c r="O67" t="str">
        <f>CONCATENATE("1 ","")</f>
        <v>1 </v>
      </c>
      <c r="P67">
        <v>14.9</v>
      </c>
      <c r="Q67" t="s">
        <v>24</v>
      </c>
    </row>
    <row r="68" spans="1:17" ht="15">
      <c r="A68" t="s">
        <v>17</v>
      </c>
      <c r="B68" s="1">
        <v>43152</v>
      </c>
      <c r="C68" t="s">
        <v>111</v>
      </c>
      <c r="D68" t="str">
        <f>CONCATENATE("0070016837","")</f>
        <v>0070016837</v>
      </c>
      <c r="E68" t="str">
        <f>CONCATENATE("0030132000057       ","")</f>
        <v>0030132000057       </v>
      </c>
      <c r="F68" t="str">
        <f>CONCATENATE("606907251","")</f>
        <v>606907251</v>
      </c>
      <c r="G68" t="s">
        <v>156</v>
      </c>
      <c r="H68" t="s">
        <v>157</v>
      </c>
      <c r="I68" t="s">
        <v>158</v>
      </c>
      <c r="J68" t="str">
        <f t="shared" si="4"/>
        <v>080301</v>
      </c>
      <c r="K68" t="s">
        <v>22</v>
      </c>
      <c r="L68" t="s">
        <v>23</v>
      </c>
      <c r="M68" t="str">
        <f t="shared" si="6"/>
        <v>1</v>
      </c>
      <c r="O68" t="str">
        <f>CONCATENATE("1 ","")</f>
        <v>1 </v>
      </c>
      <c r="P68">
        <v>99.85</v>
      </c>
      <c r="Q68" t="s">
        <v>24</v>
      </c>
    </row>
    <row r="69" spans="1:17" ht="15">
      <c r="A69" t="s">
        <v>17</v>
      </c>
      <c r="B69" s="1">
        <v>43152</v>
      </c>
      <c r="C69" t="s">
        <v>111</v>
      </c>
      <c r="D69" t="str">
        <f>CONCATENATE("0070000780","")</f>
        <v>0070000780</v>
      </c>
      <c r="E69" t="str">
        <f>CONCATENATE("0030132000080       ","")</f>
        <v>0030132000080       </v>
      </c>
      <c r="F69" t="str">
        <f>CONCATENATE("605765540","")</f>
        <v>605765540</v>
      </c>
      <c r="G69" t="s">
        <v>156</v>
      </c>
      <c r="H69" t="s">
        <v>159</v>
      </c>
      <c r="I69" t="s">
        <v>160</v>
      </c>
      <c r="J69" t="str">
        <f t="shared" si="4"/>
        <v>080301</v>
      </c>
      <c r="K69" t="s">
        <v>22</v>
      </c>
      <c r="L69" t="s">
        <v>23</v>
      </c>
      <c r="M69" t="str">
        <f t="shared" si="6"/>
        <v>1</v>
      </c>
      <c r="O69" t="str">
        <f>CONCATENATE("2 ","")</f>
        <v>2 </v>
      </c>
      <c r="P69">
        <v>215.2</v>
      </c>
      <c r="Q69" t="s">
        <v>24</v>
      </c>
    </row>
    <row r="70" spans="1:17" ht="15">
      <c r="A70" t="s">
        <v>17</v>
      </c>
      <c r="B70" s="1">
        <v>43152</v>
      </c>
      <c r="C70" t="s">
        <v>111</v>
      </c>
      <c r="D70" t="str">
        <f>CONCATENATE("0070000784","")</f>
        <v>0070000784</v>
      </c>
      <c r="E70" t="str">
        <f>CONCATENATE("0030132000110       ","")</f>
        <v>0030132000110       </v>
      </c>
      <c r="F70" t="str">
        <f>CONCATENATE("605274877","")</f>
        <v>605274877</v>
      </c>
      <c r="G70" t="s">
        <v>156</v>
      </c>
      <c r="H70" t="s">
        <v>161</v>
      </c>
      <c r="I70" t="s">
        <v>160</v>
      </c>
      <c r="J70" t="str">
        <f t="shared" si="4"/>
        <v>080301</v>
      </c>
      <c r="K70" t="s">
        <v>22</v>
      </c>
      <c r="L70" t="s">
        <v>23</v>
      </c>
      <c r="M70" t="str">
        <f t="shared" si="6"/>
        <v>1</v>
      </c>
      <c r="O70" t="str">
        <f>CONCATENATE("1 ","")</f>
        <v>1 </v>
      </c>
      <c r="P70">
        <v>47.2</v>
      </c>
      <c r="Q70" t="s">
        <v>24</v>
      </c>
    </row>
    <row r="71" spans="1:17" ht="15">
      <c r="A71" t="s">
        <v>17</v>
      </c>
      <c r="B71" s="1">
        <v>43152</v>
      </c>
      <c r="C71" t="s">
        <v>111</v>
      </c>
      <c r="D71" t="str">
        <f>CONCATENATE("0070000785","")</f>
        <v>0070000785</v>
      </c>
      <c r="E71" t="str">
        <f>CONCATENATE("0030132000190       ","")</f>
        <v>0030132000190       </v>
      </c>
      <c r="F71" t="str">
        <f>CONCATENATE("605087915","")</f>
        <v>605087915</v>
      </c>
      <c r="G71" t="s">
        <v>156</v>
      </c>
      <c r="H71" t="s">
        <v>162</v>
      </c>
      <c r="I71" t="s">
        <v>160</v>
      </c>
      <c r="J71" t="str">
        <f t="shared" si="4"/>
        <v>080301</v>
      </c>
      <c r="K71" t="s">
        <v>22</v>
      </c>
      <c r="L71" t="s">
        <v>23</v>
      </c>
      <c r="M71" t="str">
        <f t="shared" si="6"/>
        <v>1</v>
      </c>
      <c r="O71" t="str">
        <f>CONCATENATE("1 ","")</f>
        <v>1 </v>
      </c>
      <c r="P71">
        <v>11.75</v>
      </c>
      <c r="Q71" t="s">
        <v>24</v>
      </c>
    </row>
    <row r="72" spans="1:17" ht="15">
      <c r="A72" t="s">
        <v>17</v>
      </c>
      <c r="B72" s="1">
        <v>43152</v>
      </c>
      <c r="C72" t="s">
        <v>111</v>
      </c>
      <c r="D72" t="str">
        <f>CONCATENATE("0070024362","")</f>
        <v>0070024362</v>
      </c>
      <c r="E72" t="str">
        <f>CONCATENATE("0030133000570       ","")</f>
        <v>0030133000570       </v>
      </c>
      <c r="F72" t="str">
        <f>CONCATENATE("607092486","")</f>
        <v>607092486</v>
      </c>
      <c r="G72" t="s">
        <v>163</v>
      </c>
      <c r="H72" t="s">
        <v>164</v>
      </c>
      <c r="I72" t="s">
        <v>165</v>
      </c>
      <c r="J72" t="str">
        <f t="shared" si="4"/>
        <v>080301</v>
      </c>
      <c r="K72" t="s">
        <v>22</v>
      </c>
      <c r="L72" t="s">
        <v>23</v>
      </c>
      <c r="M72" t="str">
        <f t="shared" si="6"/>
        <v>1</v>
      </c>
      <c r="O72" t="str">
        <f>CONCATENATE("1 ","")</f>
        <v>1 </v>
      </c>
      <c r="P72">
        <v>11.9</v>
      </c>
      <c r="Q72" t="s">
        <v>24</v>
      </c>
    </row>
    <row r="73" spans="1:17" ht="15">
      <c r="A73" t="s">
        <v>17</v>
      </c>
      <c r="B73" s="1">
        <v>43152</v>
      </c>
      <c r="C73" t="s">
        <v>111</v>
      </c>
      <c r="D73" t="str">
        <f>CONCATENATE("0070000807","")</f>
        <v>0070000807</v>
      </c>
      <c r="E73" t="str">
        <f>CONCATENATE("0030135000246       ","")</f>
        <v>0030135000246       </v>
      </c>
      <c r="F73" t="str">
        <f>CONCATENATE("605085888","")</f>
        <v>605085888</v>
      </c>
      <c r="G73" t="s">
        <v>166</v>
      </c>
      <c r="H73" t="s">
        <v>167</v>
      </c>
      <c r="I73" t="s">
        <v>168</v>
      </c>
      <c r="J73" t="str">
        <f t="shared" si="4"/>
        <v>080301</v>
      </c>
      <c r="K73" t="s">
        <v>22</v>
      </c>
      <c r="L73" t="s">
        <v>23</v>
      </c>
      <c r="M73" t="str">
        <f t="shared" si="6"/>
        <v>1</v>
      </c>
      <c r="O73" t="str">
        <f>CONCATENATE("2 ","")</f>
        <v>2 </v>
      </c>
      <c r="P73">
        <v>23.4</v>
      </c>
      <c r="Q73" t="s">
        <v>24</v>
      </c>
    </row>
    <row r="74" spans="1:17" ht="15">
      <c r="A74" t="s">
        <v>17</v>
      </c>
      <c r="B74" s="1">
        <v>43152</v>
      </c>
      <c r="C74" t="s">
        <v>111</v>
      </c>
      <c r="D74" t="str">
        <f>CONCATENATE("0070000813","")</f>
        <v>0070000813</v>
      </c>
      <c r="E74" t="str">
        <f>CONCATENATE("0030135000280       ","")</f>
        <v>0030135000280       </v>
      </c>
      <c r="F74" t="str">
        <f>CONCATENATE("606930512","")</f>
        <v>606930512</v>
      </c>
      <c r="G74" t="s">
        <v>166</v>
      </c>
      <c r="H74" t="s">
        <v>169</v>
      </c>
      <c r="I74" t="s">
        <v>170</v>
      </c>
      <c r="J74" t="str">
        <f t="shared" si="4"/>
        <v>080301</v>
      </c>
      <c r="K74" t="s">
        <v>22</v>
      </c>
      <c r="L74" t="s">
        <v>23</v>
      </c>
      <c r="M74" t="str">
        <f t="shared" si="6"/>
        <v>1</v>
      </c>
      <c r="O74" t="str">
        <f>CONCATENATE("1 ","")</f>
        <v>1 </v>
      </c>
      <c r="P74">
        <v>39.1</v>
      </c>
      <c r="Q74" t="s">
        <v>24</v>
      </c>
    </row>
    <row r="75" spans="1:17" ht="15">
      <c r="A75" t="s">
        <v>17</v>
      </c>
      <c r="B75" s="1">
        <v>43152</v>
      </c>
      <c r="C75" t="s">
        <v>111</v>
      </c>
      <c r="D75" t="str">
        <f>CONCATENATE("0070000830","")</f>
        <v>0070000830</v>
      </c>
      <c r="E75" t="str">
        <f>CONCATENATE("0030135000420       ","")</f>
        <v>0030135000420       </v>
      </c>
      <c r="F75" t="str">
        <f>CONCATENATE("2126615","")</f>
        <v>2126615</v>
      </c>
      <c r="G75" t="s">
        <v>166</v>
      </c>
      <c r="H75" t="s">
        <v>171</v>
      </c>
      <c r="I75" t="s">
        <v>170</v>
      </c>
      <c r="J75" t="str">
        <f t="shared" si="4"/>
        <v>080301</v>
      </c>
      <c r="K75" t="s">
        <v>22</v>
      </c>
      <c r="L75" t="s">
        <v>23</v>
      </c>
      <c r="M75" t="str">
        <f t="shared" si="6"/>
        <v>1</v>
      </c>
      <c r="O75" t="str">
        <f>CONCATENATE("1 ","")</f>
        <v>1 </v>
      </c>
      <c r="P75">
        <v>32.45</v>
      </c>
      <c r="Q75" t="s">
        <v>24</v>
      </c>
    </row>
    <row r="76" spans="1:17" ht="15">
      <c r="A76" t="s">
        <v>17</v>
      </c>
      <c r="B76" s="1">
        <v>43152</v>
      </c>
      <c r="C76" t="s">
        <v>111</v>
      </c>
      <c r="D76" t="str">
        <f>CONCATENATE("0070013681","")</f>
        <v>0070013681</v>
      </c>
      <c r="E76" t="str">
        <f>CONCATENATE("0030135000520       ","")</f>
        <v>0030135000520       </v>
      </c>
      <c r="F76" t="str">
        <f>CONCATENATE("606904921","")</f>
        <v>606904921</v>
      </c>
      <c r="G76" t="s">
        <v>166</v>
      </c>
      <c r="H76" t="s">
        <v>172</v>
      </c>
      <c r="I76" t="s">
        <v>173</v>
      </c>
      <c r="J76" t="str">
        <f t="shared" si="4"/>
        <v>080301</v>
      </c>
      <c r="K76" t="s">
        <v>22</v>
      </c>
      <c r="L76" t="s">
        <v>23</v>
      </c>
      <c r="M76" t="str">
        <f t="shared" si="6"/>
        <v>1</v>
      </c>
      <c r="O76" t="str">
        <f>CONCATENATE("1 ","")</f>
        <v>1 </v>
      </c>
      <c r="P76">
        <v>11.8</v>
      </c>
      <c r="Q76" t="s">
        <v>24</v>
      </c>
    </row>
    <row r="77" spans="1:17" ht="15">
      <c r="A77" t="s">
        <v>17</v>
      </c>
      <c r="B77" s="1">
        <v>43152</v>
      </c>
      <c r="C77" t="s">
        <v>111</v>
      </c>
      <c r="D77" t="str">
        <f>CONCATENATE("0070019450","")</f>
        <v>0070019450</v>
      </c>
      <c r="E77" t="str">
        <f>CONCATENATE("0030135000578       ","")</f>
        <v>0030135000578       </v>
      </c>
      <c r="F77" t="str">
        <f>CONCATENATE("605944616","")</f>
        <v>605944616</v>
      </c>
      <c r="G77" t="s">
        <v>166</v>
      </c>
      <c r="H77" t="s">
        <v>174</v>
      </c>
      <c r="I77" t="s">
        <v>175</v>
      </c>
      <c r="J77" t="str">
        <f t="shared" si="4"/>
        <v>080301</v>
      </c>
      <c r="K77" t="s">
        <v>22</v>
      </c>
      <c r="L77" t="s">
        <v>23</v>
      </c>
      <c r="M77" t="str">
        <f t="shared" si="6"/>
        <v>1</v>
      </c>
      <c r="O77" t="str">
        <f>CONCATENATE("1 ","")</f>
        <v>1 </v>
      </c>
      <c r="P77">
        <v>175.6</v>
      </c>
      <c r="Q77" t="s">
        <v>24</v>
      </c>
    </row>
    <row r="78" spans="1:17" ht="15">
      <c r="A78" t="s">
        <v>17</v>
      </c>
      <c r="B78" s="1">
        <v>43152</v>
      </c>
      <c r="C78" t="s">
        <v>111</v>
      </c>
      <c r="D78" t="str">
        <f>CONCATENATE("0070000856","")</f>
        <v>0070000856</v>
      </c>
      <c r="E78" t="str">
        <f>CONCATENATE("0030135000710       ","")</f>
        <v>0030135000710       </v>
      </c>
      <c r="F78" t="str">
        <f>CONCATENATE("2126964","")</f>
        <v>2126964</v>
      </c>
      <c r="G78" t="s">
        <v>166</v>
      </c>
      <c r="H78" t="s">
        <v>176</v>
      </c>
      <c r="I78" t="s">
        <v>168</v>
      </c>
      <c r="J78" t="str">
        <f t="shared" si="4"/>
        <v>080301</v>
      </c>
      <c r="K78" t="s">
        <v>22</v>
      </c>
      <c r="L78" t="s">
        <v>23</v>
      </c>
      <c r="M78" t="str">
        <f t="shared" si="6"/>
        <v>1</v>
      </c>
      <c r="O78" t="str">
        <f>CONCATENATE("1 ","")</f>
        <v>1 </v>
      </c>
      <c r="P78">
        <v>15.65</v>
      </c>
      <c r="Q78" t="s">
        <v>24</v>
      </c>
    </row>
    <row r="79" spans="1:17" ht="15">
      <c r="A79" t="s">
        <v>17</v>
      </c>
      <c r="B79" s="1">
        <v>43152</v>
      </c>
      <c r="C79" t="s">
        <v>111</v>
      </c>
      <c r="D79" t="str">
        <f>CONCATENATE("0070000869","")</f>
        <v>0070000869</v>
      </c>
      <c r="E79" t="str">
        <f>CONCATENATE("0030135000830       ","")</f>
        <v>0030135000830       </v>
      </c>
      <c r="F79" t="str">
        <f>CONCATENATE("2126697","")</f>
        <v>2126697</v>
      </c>
      <c r="G79" t="s">
        <v>166</v>
      </c>
      <c r="H79" t="s">
        <v>177</v>
      </c>
      <c r="I79" t="s">
        <v>168</v>
      </c>
      <c r="J79" t="str">
        <f aca="true" t="shared" si="7" ref="J79:J113">CONCATENATE("080301","")</f>
        <v>080301</v>
      </c>
      <c r="K79" t="s">
        <v>22</v>
      </c>
      <c r="L79" t="s">
        <v>23</v>
      </c>
      <c r="M79" t="str">
        <f t="shared" si="6"/>
        <v>1</v>
      </c>
      <c r="O79" t="str">
        <f>CONCATENATE("2 ","")</f>
        <v>2 </v>
      </c>
      <c r="P79">
        <v>84.05</v>
      </c>
      <c r="Q79" t="s">
        <v>24</v>
      </c>
    </row>
    <row r="80" spans="1:17" ht="15">
      <c r="A80" t="s">
        <v>17</v>
      </c>
      <c r="B80" s="1">
        <v>43152</v>
      </c>
      <c r="C80" t="s">
        <v>111</v>
      </c>
      <c r="D80" t="str">
        <f>CONCATENATE("0070024795","")</f>
        <v>0070024795</v>
      </c>
      <c r="E80" t="str">
        <f>CONCATENATE("0030135000925       ","")</f>
        <v>0030135000925       </v>
      </c>
      <c r="F80" t="str">
        <f>CONCATENATE("607430441","")</f>
        <v>607430441</v>
      </c>
      <c r="G80" t="s">
        <v>178</v>
      </c>
      <c r="H80" t="s">
        <v>179</v>
      </c>
      <c r="I80" t="s">
        <v>180</v>
      </c>
      <c r="J80" t="str">
        <f t="shared" si="7"/>
        <v>080301</v>
      </c>
      <c r="K80" t="s">
        <v>22</v>
      </c>
      <c r="L80" t="s">
        <v>23</v>
      </c>
      <c r="M80" t="str">
        <f>CONCATENATE("3","")</f>
        <v>3</v>
      </c>
      <c r="O80" t="str">
        <f>CONCATENATE("1 ","")</f>
        <v>1 </v>
      </c>
      <c r="P80">
        <v>65.85</v>
      </c>
      <c r="Q80" t="s">
        <v>51</v>
      </c>
    </row>
    <row r="81" spans="1:17" ht="15">
      <c r="A81" t="s">
        <v>17</v>
      </c>
      <c r="B81" s="1">
        <v>43152</v>
      </c>
      <c r="C81" t="s">
        <v>111</v>
      </c>
      <c r="D81" t="str">
        <f>CONCATENATE("0070000891","")</f>
        <v>0070000891</v>
      </c>
      <c r="E81" t="str">
        <f>CONCATENATE("0030135001060       ","")</f>
        <v>0030135001060       </v>
      </c>
      <c r="F81" t="str">
        <f>CONCATENATE("606930515","")</f>
        <v>606930515</v>
      </c>
      <c r="G81" t="s">
        <v>166</v>
      </c>
      <c r="H81" t="s">
        <v>181</v>
      </c>
      <c r="I81" t="s">
        <v>168</v>
      </c>
      <c r="J81" t="str">
        <f t="shared" si="7"/>
        <v>080301</v>
      </c>
      <c r="K81" t="s">
        <v>22</v>
      </c>
      <c r="L81" t="s">
        <v>23</v>
      </c>
      <c r="M81" t="str">
        <f aca="true" t="shared" si="8" ref="M81:M105">CONCATENATE("1","")</f>
        <v>1</v>
      </c>
      <c r="O81" t="str">
        <f>CONCATENATE("2 ","")</f>
        <v>2 </v>
      </c>
      <c r="P81">
        <v>15.9</v>
      </c>
      <c r="Q81" t="s">
        <v>24</v>
      </c>
    </row>
    <row r="82" spans="1:17" ht="15">
      <c r="A82" t="s">
        <v>17</v>
      </c>
      <c r="B82" s="1">
        <v>43152</v>
      </c>
      <c r="C82" t="s">
        <v>111</v>
      </c>
      <c r="D82" t="str">
        <f>CONCATENATE("0070000906","")</f>
        <v>0070000906</v>
      </c>
      <c r="E82" t="str">
        <f>CONCATENATE("0030135001230       ","")</f>
        <v>0030135001230       </v>
      </c>
      <c r="F82" t="str">
        <f>CONCATENATE("606930524","")</f>
        <v>606930524</v>
      </c>
      <c r="G82" t="s">
        <v>166</v>
      </c>
      <c r="H82" t="s">
        <v>182</v>
      </c>
      <c r="I82" t="s">
        <v>168</v>
      </c>
      <c r="J82" t="str">
        <f t="shared" si="7"/>
        <v>080301</v>
      </c>
      <c r="K82" t="s">
        <v>22</v>
      </c>
      <c r="L82" t="s">
        <v>23</v>
      </c>
      <c r="M82" t="str">
        <f t="shared" si="8"/>
        <v>1</v>
      </c>
      <c r="O82" t="str">
        <f>CONCATENATE("5 ","")</f>
        <v>5 </v>
      </c>
      <c r="P82">
        <v>35.25</v>
      </c>
      <c r="Q82" t="s">
        <v>24</v>
      </c>
    </row>
    <row r="83" spans="1:17" ht="15">
      <c r="A83" t="s">
        <v>17</v>
      </c>
      <c r="B83" s="1">
        <v>43152</v>
      </c>
      <c r="C83" t="s">
        <v>111</v>
      </c>
      <c r="D83" t="str">
        <f>CONCATENATE("0070018436","")</f>
        <v>0070018436</v>
      </c>
      <c r="E83" t="str">
        <f>CONCATENATE("0030136000025       ","")</f>
        <v>0030136000025       </v>
      </c>
      <c r="F83" t="str">
        <f>CONCATENATE("605740995","")</f>
        <v>605740995</v>
      </c>
      <c r="G83" t="s">
        <v>178</v>
      </c>
      <c r="H83" t="s">
        <v>183</v>
      </c>
      <c r="I83" t="s">
        <v>184</v>
      </c>
      <c r="J83" t="str">
        <f t="shared" si="7"/>
        <v>080301</v>
      </c>
      <c r="K83" t="s">
        <v>22</v>
      </c>
      <c r="L83" t="s">
        <v>23</v>
      </c>
      <c r="M83" t="str">
        <f t="shared" si="8"/>
        <v>1</v>
      </c>
      <c r="O83" t="str">
        <f aca="true" t="shared" si="9" ref="O83:O90">CONCATENATE("1 ","")</f>
        <v>1 </v>
      </c>
      <c r="P83">
        <v>35.45</v>
      </c>
      <c r="Q83" t="s">
        <v>24</v>
      </c>
    </row>
    <row r="84" spans="1:17" ht="15">
      <c r="A84" t="s">
        <v>17</v>
      </c>
      <c r="B84" s="1">
        <v>43152</v>
      </c>
      <c r="C84" t="s">
        <v>111</v>
      </c>
      <c r="D84" t="str">
        <f>CONCATENATE("0070000912","")</f>
        <v>0070000912</v>
      </c>
      <c r="E84" t="str">
        <f>CONCATENATE("0030136000050       ","")</f>
        <v>0030136000050       </v>
      </c>
      <c r="F84" t="str">
        <f>CONCATENATE("606751976","")</f>
        <v>606751976</v>
      </c>
      <c r="G84" t="s">
        <v>178</v>
      </c>
      <c r="H84" t="s">
        <v>185</v>
      </c>
      <c r="I84" t="s">
        <v>168</v>
      </c>
      <c r="J84" t="str">
        <f t="shared" si="7"/>
        <v>080301</v>
      </c>
      <c r="K84" t="s">
        <v>22</v>
      </c>
      <c r="L84" t="s">
        <v>23</v>
      </c>
      <c r="M84" t="str">
        <f t="shared" si="8"/>
        <v>1</v>
      </c>
      <c r="O84" t="str">
        <f t="shared" si="9"/>
        <v>1 </v>
      </c>
      <c r="P84">
        <v>27.9</v>
      </c>
      <c r="Q84" t="s">
        <v>24</v>
      </c>
    </row>
    <row r="85" spans="1:17" ht="15">
      <c r="A85" t="s">
        <v>17</v>
      </c>
      <c r="B85" s="1">
        <v>43152</v>
      </c>
      <c r="C85" t="s">
        <v>111</v>
      </c>
      <c r="D85" t="str">
        <f>CONCATENATE("0070000915","")</f>
        <v>0070000915</v>
      </c>
      <c r="E85" t="str">
        <f>CONCATENATE("0030136000080       ","")</f>
        <v>0030136000080       </v>
      </c>
      <c r="F85" t="str">
        <f>CONCATENATE("606751996","")</f>
        <v>606751996</v>
      </c>
      <c r="G85" t="s">
        <v>178</v>
      </c>
      <c r="H85" t="s">
        <v>186</v>
      </c>
      <c r="I85" t="s">
        <v>168</v>
      </c>
      <c r="J85" t="str">
        <f t="shared" si="7"/>
        <v>080301</v>
      </c>
      <c r="K85" t="s">
        <v>22</v>
      </c>
      <c r="L85" t="s">
        <v>23</v>
      </c>
      <c r="M85" t="str">
        <f t="shared" si="8"/>
        <v>1</v>
      </c>
      <c r="O85" t="str">
        <f t="shared" si="9"/>
        <v>1 </v>
      </c>
      <c r="P85">
        <v>45.75</v>
      </c>
      <c r="Q85" t="s">
        <v>24</v>
      </c>
    </row>
    <row r="86" spans="1:17" ht="15">
      <c r="A86" t="s">
        <v>17</v>
      </c>
      <c r="B86" s="1">
        <v>43152</v>
      </c>
      <c r="C86" t="s">
        <v>111</v>
      </c>
      <c r="D86" t="str">
        <f>CONCATENATE("0070000916","")</f>
        <v>0070000916</v>
      </c>
      <c r="E86" t="str">
        <f>CONCATENATE("0030136000090       ","")</f>
        <v>0030136000090       </v>
      </c>
      <c r="F86" t="str">
        <f>CONCATENATE("2126968","")</f>
        <v>2126968</v>
      </c>
      <c r="G86" t="s">
        <v>178</v>
      </c>
      <c r="H86" t="s">
        <v>187</v>
      </c>
      <c r="I86" t="s">
        <v>168</v>
      </c>
      <c r="J86" t="str">
        <f t="shared" si="7"/>
        <v>080301</v>
      </c>
      <c r="K86" t="s">
        <v>22</v>
      </c>
      <c r="L86" t="s">
        <v>23</v>
      </c>
      <c r="M86" t="str">
        <f t="shared" si="8"/>
        <v>1</v>
      </c>
      <c r="O86" t="str">
        <f t="shared" si="9"/>
        <v>1 </v>
      </c>
      <c r="P86">
        <v>18.15</v>
      </c>
      <c r="Q86" t="s">
        <v>24</v>
      </c>
    </row>
    <row r="87" spans="1:17" ht="15">
      <c r="A87" t="s">
        <v>17</v>
      </c>
      <c r="B87" s="1">
        <v>43152</v>
      </c>
      <c r="C87" t="s">
        <v>111</v>
      </c>
      <c r="D87" t="str">
        <f>CONCATENATE("0070000923","")</f>
        <v>0070000923</v>
      </c>
      <c r="E87" t="str">
        <f>CONCATENATE("0030136000150       ","")</f>
        <v>0030136000150       </v>
      </c>
      <c r="F87" t="str">
        <f>CONCATENATE("605351306","")</f>
        <v>605351306</v>
      </c>
      <c r="G87" t="s">
        <v>178</v>
      </c>
      <c r="H87" t="s">
        <v>188</v>
      </c>
      <c r="I87" t="s">
        <v>168</v>
      </c>
      <c r="J87" t="str">
        <f t="shared" si="7"/>
        <v>080301</v>
      </c>
      <c r="K87" t="s">
        <v>22</v>
      </c>
      <c r="L87" t="s">
        <v>23</v>
      </c>
      <c r="M87" t="str">
        <f t="shared" si="8"/>
        <v>1</v>
      </c>
      <c r="O87" t="str">
        <f t="shared" si="9"/>
        <v>1 </v>
      </c>
      <c r="P87">
        <v>20.3</v>
      </c>
      <c r="Q87" t="s">
        <v>24</v>
      </c>
    </row>
    <row r="88" spans="1:17" ht="15">
      <c r="A88" t="s">
        <v>17</v>
      </c>
      <c r="B88" s="1">
        <v>43152</v>
      </c>
      <c r="C88" t="s">
        <v>111</v>
      </c>
      <c r="D88" t="str">
        <f>CONCATENATE("0070000924","")</f>
        <v>0070000924</v>
      </c>
      <c r="E88" t="str">
        <f>CONCATENATE("0030136000152       ","")</f>
        <v>0030136000152       </v>
      </c>
      <c r="F88" t="str">
        <f>CONCATENATE("605351310","")</f>
        <v>605351310</v>
      </c>
      <c r="G88" t="s">
        <v>178</v>
      </c>
      <c r="H88" t="s">
        <v>189</v>
      </c>
      <c r="I88" t="s">
        <v>190</v>
      </c>
      <c r="J88" t="str">
        <f t="shared" si="7"/>
        <v>080301</v>
      </c>
      <c r="K88" t="s">
        <v>22</v>
      </c>
      <c r="L88" t="s">
        <v>23</v>
      </c>
      <c r="M88" t="str">
        <f t="shared" si="8"/>
        <v>1</v>
      </c>
      <c r="O88" t="str">
        <f t="shared" si="9"/>
        <v>1 </v>
      </c>
      <c r="P88">
        <v>25.75</v>
      </c>
      <c r="Q88" t="s">
        <v>24</v>
      </c>
    </row>
    <row r="89" spans="1:17" ht="15">
      <c r="A89" t="s">
        <v>17</v>
      </c>
      <c r="B89" s="1">
        <v>43152</v>
      </c>
      <c r="C89" t="s">
        <v>111</v>
      </c>
      <c r="D89" t="str">
        <f>CONCATENATE("0070000926","")</f>
        <v>0070000926</v>
      </c>
      <c r="E89" t="str">
        <f>CONCATENATE("0030136000156       ","")</f>
        <v>0030136000156       </v>
      </c>
      <c r="F89" t="str">
        <f>CONCATENATE("605282407","")</f>
        <v>605282407</v>
      </c>
      <c r="G89" t="s">
        <v>178</v>
      </c>
      <c r="H89" t="s">
        <v>191</v>
      </c>
      <c r="I89" t="s">
        <v>168</v>
      </c>
      <c r="J89" t="str">
        <f t="shared" si="7"/>
        <v>080301</v>
      </c>
      <c r="K89" t="s">
        <v>22</v>
      </c>
      <c r="L89" t="s">
        <v>23</v>
      </c>
      <c r="M89" t="str">
        <f t="shared" si="8"/>
        <v>1</v>
      </c>
      <c r="O89" t="str">
        <f t="shared" si="9"/>
        <v>1 </v>
      </c>
      <c r="P89">
        <v>108.55</v>
      </c>
      <c r="Q89" t="s">
        <v>24</v>
      </c>
    </row>
    <row r="90" spans="1:17" ht="15">
      <c r="A90" t="s">
        <v>17</v>
      </c>
      <c r="B90" s="1">
        <v>43152</v>
      </c>
      <c r="C90" t="s">
        <v>111</v>
      </c>
      <c r="D90" t="str">
        <f>CONCATENATE("0070000942","")</f>
        <v>0070000942</v>
      </c>
      <c r="E90" t="str">
        <f>CONCATENATE("0030136000300       ","")</f>
        <v>0030136000300       </v>
      </c>
      <c r="F90" t="str">
        <f>CONCATENATE("2122032","")</f>
        <v>2122032</v>
      </c>
      <c r="G90" t="s">
        <v>178</v>
      </c>
      <c r="H90" t="s">
        <v>192</v>
      </c>
      <c r="I90" t="s">
        <v>168</v>
      </c>
      <c r="J90" t="str">
        <f t="shared" si="7"/>
        <v>080301</v>
      </c>
      <c r="K90" t="s">
        <v>22</v>
      </c>
      <c r="L90" t="s">
        <v>23</v>
      </c>
      <c r="M90" t="str">
        <f t="shared" si="8"/>
        <v>1</v>
      </c>
      <c r="O90" t="str">
        <f t="shared" si="9"/>
        <v>1 </v>
      </c>
      <c r="P90">
        <v>39.95</v>
      </c>
      <c r="Q90" t="s">
        <v>24</v>
      </c>
    </row>
    <row r="91" spans="1:17" ht="15">
      <c r="A91" t="s">
        <v>17</v>
      </c>
      <c r="B91" s="1">
        <v>43152</v>
      </c>
      <c r="C91" t="s">
        <v>111</v>
      </c>
      <c r="D91" t="str">
        <f>CONCATENATE("0070000953","")</f>
        <v>0070000953</v>
      </c>
      <c r="E91" t="str">
        <f>CONCATENATE("0030136000410       ","")</f>
        <v>0030136000410       </v>
      </c>
      <c r="F91" t="str">
        <f>CONCATENATE("606751975","")</f>
        <v>606751975</v>
      </c>
      <c r="G91" t="s">
        <v>178</v>
      </c>
      <c r="H91" t="s">
        <v>193</v>
      </c>
      <c r="I91" t="s">
        <v>168</v>
      </c>
      <c r="J91" t="str">
        <f t="shared" si="7"/>
        <v>080301</v>
      </c>
      <c r="K91" t="s">
        <v>22</v>
      </c>
      <c r="L91" t="s">
        <v>23</v>
      </c>
      <c r="M91" t="str">
        <f t="shared" si="8"/>
        <v>1</v>
      </c>
      <c r="O91" t="str">
        <f>CONCATENATE("2 ","")</f>
        <v>2 </v>
      </c>
      <c r="P91">
        <v>51.95</v>
      </c>
      <c r="Q91" t="s">
        <v>24</v>
      </c>
    </row>
    <row r="92" spans="1:17" ht="15">
      <c r="A92" t="s">
        <v>17</v>
      </c>
      <c r="B92" s="1">
        <v>43152</v>
      </c>
      <c r="C92" t="s">
        <v>111</v>
      </c>
      <c r="D92" t="str">
        <f>CONCATENATE("0070000958","")</f>
        <v>0070000958</v>
      </c>
      <c r="E92" t="str">
        <f>CONCATENATE("0030136000445       ","")</f>
        <v>0030136000445       </v>
      </c>
      <c r="F92" t="str">
        <f>CONCATENATE("606751970","")</f>
        <v>606751970</v>
      </c>
      <c r="G92" t="s">
        <v>178</v>
      </c>
      <c r="H92" t="s">
        <v>194</v>
      </c>
      <c r="I92" t="s">
        <v>195</v>
      </c>
      <c r="J92" t="str">
        <f t="shared" si="7"/>
        <v>080301</v>
      </c>
      <c r="K92" t="s">
        <v>22</v>
      </c>
      <c r="L92" t="s">
        <v>23</v>
      </c>
      <c r="M92" t="str">
        <f t="shared" si="8"/>
        <v>1</v>
      </c>
      <c r="O92" t="str">
        <f>CONCATENATE("2 ","")</f>
        <v>2 </v>
      </c>
      <c r="P92">
        <v>117.1</v>
      </c>
      <c r="Q92" t="s">
        <v>24</v>
      </c>
    </row>
    <row r="93" spans="1:17" ht="15">
      <c r="A93" t="s">
        <v>17</v>
      </c>
      <c r="B93" s="1">
        <v>43152</v>
      </c>
      <c r="C93" t="s">
        <v>111</v>
      </c>
      <c r="D93" t="str">
        <f>CONCATENATE("0070022299","")</f>
        <v>0070022299</v>
      </c>
      <c r="E93" t="str">
        <f>CONCATENATE("0030136000475       ","")</f>
        <v>0030136000475       </v>
      </c>
      <c r="F93" t="str">
        <f>CONCATENATE("2174193","")</f>
        <v>2174193</v>
      </c>
      <c r="G93" t="s">
        <v>178</v>
      </c>
      <c r="H93" t="s">
        <v>196</v>
      </c>
      <c r="I93" t="s">
        <v>197</v>
      </c>
      <c r="J93" t="str">
        <f t="shared" si="7"/>
        <v>080301</v>
      </c>
      <c r="K93" t="s">
        <v>22</v>
      </c>
      <c r="L93" t="s">
        <v>23</v>
      </c>
      <c r="M93" t="str">
        <f t="shared" si="8"/>
        <v>1</v>
      </c>
      <c r="O93" t="str">
        <f aca="true" t="shared" si="10" ref="O93:O98">CONCATENATE("1 ","")</f>
        <v>1 </v>
      </c>
      <c r="P93">
        <v>18.3</v>
      </c>
      <c r="Q93" t="s">
        <v>24</v>
      </c>
    </row>
    <row r="94" spans="1:17" ht="15">
      <c r="A94" t="s">
        <v>17</v>
      </c>
      <c r="B94" s="1">
        <v>43152</v>
      </c>
      <c r="C94" t="s">
        <v>111</v>
      </c>
      <c r="D94" t="str">
        <f>CONCATENATE("0070000904","")</f>
        <v>0070000904</v>
      </c>
      <c r="E94" t="str">
        <f>CONCATENATE("0030136000480       ","")</f>
        <v>0030136000480       </v>
      </c>
      <c r="F94" t="str">
        <f>CONCATENATE("605282830","")</f>
        <v>605282830</v>
      </c>
      <c r="G94" t="s">
        <v>178</v>
      </c>
      <c r="H94" t="s">
        <v>198</v>
      </c>
      <c r="I94" t="s">
        <v>168</v>
      </c>
      <c r="J94" t="str">
        <f t="shared" si="7"/>
        <v>080301</v>
      </c>
      <c r="K94" t="s">
        <v>22</v>
      </c>
      <c r="L94" t="s">
        <v>23</v>
      </c>
      <c r="M94" t="str">
        <f t="shared" si="8"/>
        <v>1</v>
      </c>
      <c r="O94" t="str">
        <f t="shared" si="10"/>
        <v>1 </v>
      </c>
      <c r="P94">
        <v>36.45</v>
      </c>
      <c r="Q94" t="s">
        <v>24</v>
      </c>
    </row>
    <row r="95" spans="1:17" ht="15">
      <c r="A95" t="s">
        <v>17</v>
      </c>
      <c r="B95" s="1">
        <v>43152</v>
      </c>
      <c r="C95" t="s">
        <v>111</v>
      </c>
      <c r="D95" t="str">
        <f>CONCATENATE("0070027487","")</f>
        <v>0070027487</v>
      </c>
      <c r="E95" t="str">
        <f>CONCATENATE("0030136000501       ","")</f>
        <v>0030136000501       </v>
      </c>
      <c r="F95" t="str">
        <f>CONCATENATE("607308304","")</f>
        <v>607308304</v>
      </c>
      <c r="G95" t="s">
        <v>178</v>
      </c>
      <c r="H95" t="s">
        <v>199</v>
      </c>
      <c r="I95" t="s">
        <v>168</v>
      </c>
      <c r="J95" t="str">
        <f t="shared" si="7"/>
        <v>080301</v>
      </c>
      <c r="K95" t="s">
        <v>22</v>
      </c>
      <c r="L95" t="s">
        <v>23</v>
      </c>
      <c r="M95" t="str">
        <f t="shared" si="8"/>
        <v>1</v>
      </c>
      <c r="O95" t="str">
        <f t="shared" si="10"/>
        <v>1 </v>
      </c>
      <c r="P95">
        <v>38.55</v>
      </c>
      <c r="Q95" t="s">
        <v>24</v>
      </c>
    </row>
    <row r="96" spans="1:17" ht="15">
      <c r="A96" t="s">
        <v>17</v>
      </c>
      <c r="B96" s="1">
        <v>43152</v>
      </c>
      <c r="C96" t="s">
        <v>111</v>
      </c>
      <c r="D96" t="str">
        <f>CONCATENATE("0070000965","")</f>
        <v>0070000965</v>
      </c>
      <c r="E96" t="str">
        <f>CONCATENATE("0030136000520       ","")</f>
        <v>0030136000520       </v>
      </c>
      <c r="F96" t="str">
        <f>CONCATENATE("2126601","")</f>
        <v>2126601</v>
      </c>
      <c r="G96" t="s">
        <v>178</v>
      </c>
      <c r="H96" t="s">
        <v>200</v>
      </c>
      <c r="I96" t="s">
        <v>168</v>
      </c>
      <c r="J96" t="str">
        <f t="shared" si="7"/>
        <v>080301</v>
      </c>
      <c r="K96" t="s">
        <v>22</v>
      </c>
      <c r="L96" t="s">
        <v>23</v>
      </c>
      <c r="M96" t="str">
        <f t="shared" si="8"/>
        <v>1</v>
      </c>
      <c r="O96" t="str">
        <f t="shared" si="10"/>
        <v>1 </v>
      </c>
      <c r="P96">
        <v>51.8</v>
      </c>
      <c r="Q96" t="s">
        <v>24</v>
      </c>
    </row>
    <row r="97" spans="1:17" ht="15">
      <c r="A97" t="s">
        <v>17</v>
      </c>
      <c r="B97" s="1">
        <v>43152</v>
      </c>
      <c r="C97" t="s">
        <v>111</v>
      </c>
      <c r="D97" t="str">
        <f>CONCATENATE("0070013659","")</f>
        <v>0070013659</v>
      </c>
      <c r="E97" t="str">
        <f>CONCATENATE("0030136000635       ","")</f>
        <v>0030136000635       </v>
      </c>
      <c r="F97" t="str">
        <f>CONCATENATE("1812144","")</f>
        <v>1812144</v>
      </c>
      <c r="G97" t="s">
        <v>178</v>
      </c>
      <c r="H97" t="s">
        <v>201</v>
      </c>
      <c r="I97" t="s">
        <v>202</v>
      </c>
      <c r="J97" t="str">
        <f t="shared" si="7"/>
        <v>080301</v>
      </c>
      <c r="K97" t="s">
        <v>22</v>
      </c>
      <c r="L97" t="s">
        <v>23</v>
      </c>
      <c r="M97" t="str">
        <f t="shared" si="8"/>
        <v>1</v>
      </c>
      <c r="O97" t="str">
        <f t="shared" si="10"/>
        <v>1 </v>
      </c>
      <c r="P97">
        <v>45.95</v>
      </c>
      <c r="Q97" t="s">
        <v>24</v>
      </c>
    </row>
    <row r="98" spans="1:17" ht="15">
      <c r="A98" t="s">
        <v>17</v>
      </c>
      <c r="B98" s="1">
        <v>43152</v>
      </c>
      <c r="C98" t="s">
        <v>111</v>
      </c>
      <c r="D98" t="str">
        <f>CONCATENATE("0070024504","")</f>
        <v>0070024504</v>
      </c>
      <c r="E98" t="str">
        <f>CONCATENATE("0030136000687       ","")</f>
        <v>0030136000687       </v>
      </c>
      <c r="F98" t="str">
        <f>CONCATENATE("607092552","")</f>
        <v>607092552</v>
      </c>
      <c r="G98" t="s">
        <v>178</v>
      </c>
      <c r="H98" t="s">
        <v>203</v>
      </c>
      <c r="I98" t="s">
        <v>204</v>
      </c>
      <c r="J98" t="str">
        <f t="shared" si="7"/>
        <v>080301</v>
      </c>
      <c r="K98" t="s">
        <v>22</v>
      </c>
      <c r="L98" t="s">
        <v>23</v>
      </c>
      <c r="M98" t="str">
        <f t="shared" si="8"/>
        <v>1</v>
      </c>
      <c r="O98" t="str">
        <f t="shared" si="10"/>
        <v>1 </v>
      </c>
      <c r="P98">
        <v>19.75</v>
      </c>
      <c r="Q98" t="s">
        <v>24</v>
      </c>
    </row>
    <row r="99" spans="1:17" ht="15">
      <c r="A99" t="s">
        <v>17</v>
      </c>
      <c r="B99" s="1">
        <v>43152</v>
      </c>
      <c r="C99" t="s">
        <v>111</v>
      </c>
      <c r="D99" t="str">
        <f>CONCATENATE("0070000986","")</f>
        <v>0070000986</v>
      </c>
      <c r="E99" t="str">
        <f>CONCATENATE("0030136000710       ","")</f>
        <v>0030136000710       </v>
      </c>
      <c r="F99" t="str">
        <f>CONCATENATE("607446456","")</f>
        <v>607446456</v>
      </c>
      <c r="G99" t="s">
        <v>178</v>
      </c>
      <c r="H99" t="s">
        <v>205</v>
      </c>
      <c r="I99" t="s">
        <v>168</v>
      </c>
      <c r="J99" t="str">
        <f t="shared" si="7"/>
        <v>080301</v>
      </c>
      <c r="K99" t="s">
        <v>22</v>
      </c>
      <c r="L99" t="s">
        <v>23</v>
      </c>
      <c r="M99" t="str">
        <f t="shared" si="8"/>
        <v>1</v>
      </c>
      <c r="O99" t="str">
        <f>CONCATENATE("2 ","")</f>
        <v>2 </v>
      </c>
      <c r="P99">
        <v>27.25</v>
      </c>
      <c r="Q99" t="s">
        <v>24</v>
      </c>
    </row>
    <row r="100" spans="1:17" ht="15">
      <c r="A100" t="s">
        <v>17</v>
      </c>
      <c r="B100" s="1">
        <v>43152</v>
      </c>
      <c r="C100" t="s">
        <v>111</v>
      </c>
      <c r="D100" t="str">
        <f>CONCATENATE("0070013080","")</f>
        <v>0070013080</v>
      </c>
      <c r="E100" t="str">
        <f>CONCATENATE("0030140000012       ","")</f>
        <v>0030140000012       </v>
      </c>
      <c r="F100" t="str">
        <f>CONCATENATE("606896086","")</f>
        <v>606896086</v>
      </c>
      <c r="G100" t="s">
        <v>206</v>
      </c>
      <c r="H100" t="s">
        <v>207</v>
      </c>
      <c r="I100" t="s">
        <v>208</v>
      </c>
      <c r="J100" t="str">
        <f t="shared" si="7"/>
        <v>080301</v>
      </c>
      <c r="K100" t="s">
        <v>22</v>
      </c>
      <c r="L100" t="s">
        <v>23</v>
      </c>
      <c r="M100" t="str">
        <f t="shared" si="8"/>
        <v>1</v>
      </c>
      <c r="O100" t="str">
        <f aca="true" t="shared" si="11" ref="O100:O117">CONCATENATE("1 ","")</f>
        <v>1 </v>
      </c>
      <c r="P100">
        <v>58.15</v>
      </c>
      <c r="Q100" t="s">
        <v>24</v>
      </c>
    </row>
    <row r="101" spans="1:17" ht="15">
      <c r="A101" t="s">
        <v>17</v>
      </c>
      <c r="B101" s="1">
        <v>43152</v>
      </c>
      <c r="C101" t="s">
        <v>111</v>
      </c>
      <c r="D101" t="str">
        <f>CONCATENATE("0070000999","")</f>
        <v>0070000999</v>
      </c>
      <c r="E101" t="str">
        <f>CONCATENATE("0030140000092       ","")</f>
        <v>0030140000092       </v>
      </c>
      <c r="F101" t="str">
        <f>CONCATENATE("606805690","")</f>
        <v>606805690</v>
      </c>
      <c r="G101" t="s">
        <v>206</v>
      </c>
      <c r="H101" t="s">
        <v>209</v>
      </c>
      <c r="I101" t="s">
        <v>210</v>
      </c>
      <c r="J101" t="str">
        <f t="shared" si="7"/>
        <v>080301</v>
      </c>
      <c r="K101" t="s">
        <v>22</v>
      </c>
      <c r="L101" t="s">
        <v>23</v>
      </c>
      <c r="M101" t="str">
        <f t="shared" si="8"/>
        <v>1</v>
      </c>
      <c r="O101" t="str">
        <f t="shared" si="11"/>
        <v>1 </v>
      </c>
      <c r="P101">
        <v>53.25</v>
      </c>
      <c r="Q101" t="s">
        <v>24</v>
      </c>
    </row>
    <row r="102" spans="1:17" ht="15">
      <c r="A102" t="s">
        <v>17</v>
      </c>
      <c r="B102" s="1">
        <v>43152</v>
      </c>
      <c r="C102" t="s">
        <v>111</v>
      </c>
      <c r="D102" t="str">
        <f>CONCATENATE("0070016283","")</f>
        <v>0070016283</v>
      </c>
      <c r="E102" t="str">
        <f>CONCATENATE("0030140000097       ","")</f>
        <v>0030140000097       </v>
      </c>
      <c r="F102" t="str">
        <f>CONCATENATE("605279852","")</f>
        <v>605279852</v>
      </c>
      <c r="G102" t="s">
        <v>206</v>
      </c>
      <c r="H102" t="s">
        <v>211</v>
      </c>
      <c r="I102" t="s">
        <v>212</v>
      </c>
      <c r="J102" t="str">
        <f t="shared" si="7"/>
        <v>080301</v>
      </c>
      <c r="K102" t="s">
        <v>22</v>
      </c>
      <c r="L102" t="s">
        <v>23</v>
      </c>
      <c r="M102" t="str">
        <f t="shared" si="8"/>
        <v>1</v>
      </c>
      <c r="O102" t="str">
        <f t="shared" si="11"/>
        <v>1 </v>
      </c>
      <c r="P102">
        <v>94.05</v>
      </c>
      <c r="Q102" t="s">
        <v>24</v>
      </c>
    </row>
    <row r="103" spans="1:17" ht="15">
      <c r="A103" t="s">
        <v>17</v>
      </c>
      <c r="B103" s="1">
        <v>43152</v>
      </c>
      <c r="C103" t="s">
        <v>111</v>
      </c>
      <c r="D103" t="str">
        <f>CONCATENATE("0070001006","")</f>
        <v>0070001006</v>
      </c>
      <c r="E103" t="str">
        <f>CONCATENATE("0030140000142       ","")</f>
        <v>0030140000142       </v>
      </c>
      <c r="F103" t="str">
        <f>CONCATENATE("606842392","")</f>
        <v>606842392</v>
      </c>
      <c r="G103" t="s">
        <v>206</v>
      </c>
      <c r="H103" t="s">
        <v>213</v>
      </c>
      <c r="I103" t="s">
        <v>210</v>
      </c>
      <c r="J103" t="str">
        <f t="shared" si="7"/>
        <v>080301</v>
      </c>
      <c r="K103" t="s">
        <v>22</v>
      </c>
      <c r="L103" t="s">
        <v>23</v>
      </c>
      <c r="M103" t="str">
        <f t="shared" si="8"/>
        <v>1</v>
      </c>
      <c r="O103" t="str">
        <f t="shared" si="11"/>
        <v>1 </v>
      </c>
      <c r="P103">
        <v>15.65</v>
      </c>
      <c r="Q103" t="s">
        <v>24</v>
      </c>
    </row>
    <row r="104" spans="1:17" ht="15">
      <c r="A104" t="s">
        <v>17</v>
      </c>
      <c r="B104" s="1">
        <v>43152</v>
      </c>
      <c r="C104" t="s">
        <v>111</v>
      </c>
      <c r="D104" t="str">
        <f>CONCATENATE("0070024492","")</f>
        <v>0070024492</v>
      </c>
      <c r="E104" t="str">
        <f>CONCATENATE("0030140000148       ","")</f>
        <v>0030140000148       </v>
      </c>
      <c r="F104" t="str">
        <f>CONCATENATE("606755986","")</f>
        <v>606755986</v>
      </c>
      <c r="G104" t="s">
        <v>206</v>
      </c>
      <c r="H104" t="s">
        <v>214</v>
      </c>
      <c r="I104" t="s">
        <v>215</v>
      </c>
      <c r="J104" t="str">
        <f t="shared" si="7"/>
        <v>080301</v>
      </c>
      <c r="K104" t="s">
        <v>22</v>
      </c>
      <c r="L104" t="s">
        <v>23</v>
      </c>
      <c r="M104" t="str">
        <f t="shared" si="8"/>
        <v>1</v>
      </c>
      <c r="O104" t="str">
        <f t="shared" si="11"/>
        <v>1 </v>
      </c>
      <c r="P104">
        <v>48.9</v>
      </c>
      <c r="Q104" t="s">
        <v>24</v>
      </c>
    </row>
    <row r="105" spans="1:17" ht="15">
      <c r="A105" t="s">
        <v>17</v>
      </c>
      <c r="B105" s="1">
        <v>43152</v>
      </c>
      <c r="C105" t="s">
        <v>111</v>
      </c>
      <c r="D105" t="str">
        <f>CONCATENATE("0070001032","")</f>
        <v>0070001032</v>
      </c>
      <c r="E105" t="str">
        <f>CONCATENATE("0030140000320       ","")</f>
        <v>0030140000320       </v>
      </c>
      <c r="F105" t="str">
        <f>CONCATENATE("605231215","")</f>
        <v>605231215</v>
      </c>
      <c r="G105" t="s">
        <v>216</v>
      </c>
      <c r="H105" t="s">
        <v>217</v>
      </c>
      <c r="I105" t="s">
        <v>218</v>
      </c>
      <c r="J105" t="str">
        <f t="shared" si="7"/>
        <v>080301</v>
      </c>
      <c r="K105" t="s">
        <v>22</v>
      </c>
      <c r="L105" t="s">
        <v>23</v>
      </c>
      <c r="M105" t="str">
        <f t="shared" si="8"/>
        <v>1</v>
      </c>
      <c r="O105" t="str">
        <f t="shared" si="11"/>
        <v>1 </v>
      </c>
      <c r="P105">
        <v>56.25</v>
      </c>
      <c r="Q105" t="s">
        <v>24</v>
      </c>
    </row>
    <row r="106" spans="1:17" ht="15">
      <c r="A106" t="s">
        <v>17</v>
      </c>
      <c r="B106" s="1">
        <v>43152</v>
      </c>
      <c r="C106" t="s">
        <v>111</v>
      </c>
      <c r="D106" t="str">
        <f>CONCATENATE("0070023835","")</f>
        <v>0070023835</v>
      </c>
      <c r="E106" t="str">
        <f>CONCATENATE("0030140000323       ","")</f>
        <v>0030140000323       </v>
      </c>
      <c r="F106" t="str">
        <f>CONCATENATE("507029686","")</f>
        <v>507029686</v>
      </c>
      <c r="G106" t="s">
        <v>206</v>
      </c>
      <c r="H106" t="s">
        <v>219</v>
      </c>
      <c r="I106" t="s">
        <v>220</v>
      </c>
      <c r="J106" t="str">
        <f t="shared" si="7"/>
        <v>080301</v>
      </c>
      <c r="K106" t="s">
        <v>22</v>
      </c>
      <c r="L106" t="s">
        <v>23</v>
      </c>
      <c r="M106" t="str">
        <f>CONCATENATE("3","")</f>
        <v>3</v>
      </c>
      <c r="O106" t="str">
        <f t="shared" si="11"/>
        <v>1 </v>
      </c>
      <c r="P106">
        <v>216.45</v>
      </c>
      <c r="Q106" t="s">
        <v>51</v>
      </c>
    </row>
    <row r="107" spans="1:17" ht="15">
      <c r="A107" t="s">
        <v>17</v>
      </c>
      <c r="B107" s="1">
        <v>43152</v>
      </c>
      <c r="C107" t="s">
        <v>111</v>
      </c>
      <c r="D107" t="str">
        <f>CONCATENATE("0070010228","")</f>
        <v>0070010228</v>
      </c>
      <c r="E107" t="str">
        <f>CONCATENATE("0030140000502       ","")</f>
        <v>0030140000502       </v>
      </c>
      <c r="F107" t="str">
        <f>CONCATENATE("2128738","")</f>
        <v>2128738</v>
      </c>
      <c r="G107" t="s">
        <v>206</v>
      </c>
      <c r="H107" t="s">
        <v>221</v>
      </c>
      <c r="I107" t="s">
        <v>210</v>
      </c>
      <c r="J107" t="str">
        <f t="shared" si="7"/>
        <v>080301</v>
      </c>
      <c r="K107" t="s">
        <v>22</v>
      </c>
      <c r="L107" t="s">
        <v>23</v>
      </c>
      <c r="M107" t="str">
        <f>CONCATENATE("3","")</f>
        <v>3</v>
      </c>
      <c r="O107" t="str">
        <f t="shared" si="11"/>
        <v>1 </v>
      </c>
      <c r="P107">
        <v>14.35</v>
      </c>
      <c r="Q107" t="s">
        <v>24</v>
      </c>
    </row>
    <row r="108" spans="1:17" ht="15">
      <c r="A108" t="s">
        <v>17</v>
      </c>
      <c r="B108" s="1">
        <v>43152</v>
      </c>
      <c r="C108" t="s">
        <v>111</v>
      </c>
      <c r="D108" t="str">
        <f>CONCATENATE("0070001058","")</f>
        <v>0070001058</v>
      </c>
      <c r="E108" t="str">
        <f>CONCATENATE("0030140000515       ","")</f>
        <v>0030140000515       </v>
      </c>
      <c r="F108" t="str">
        <f>CONCATENATE("605158260","")</f>
        <v>605158260</v>
      </c>
      <c r="G108" t="s">
        <v>206</v>
      </c>
      <c r="H108" t="s">
        <v>222</v>
      </c>
      <c r="I108" t="s">
        <v>223</v>
      </c>
      <c r="J108" t="str">
        <f t="shared" si="7"/>
        <v>080301</v>
      </c>
      <c r="K108" t="s">
        <v>22</v>
      </c>
      <c r="L108" t="s">
        <v>23</v>
      </c>
      <c r="M108" t="str">
        <f aca="true" t="shared" si="12" ref="M108:M121">CONCATENATE("1","")</f>
        <v>1</v>
      </c>
      <c r="O108" t="str">
        <f t="shared" si="11"/>
        <v>1 </v>
      </c>
      <c r="P108">
        <v>35</v>
      </c>
      <c r="Q108" t="s">
        <v>24</v>
      </c>
    </row>
    <row r="109" spans="1:17" ht="15">
      <c r="A109" t="s">
        <v>17</v>
      </c>
      <c r="B109" s="1">
        <v>43152</v>
      </c>
      <c r="C109" t="s">
        <v>111</v>
      </c>
      <c r="D109" t="str">
        <f>CONCATENATE("0070016884","")</f>
        <v>0070016884</v>
      </c>
      <c r="E109" t="str">
        <f>CONCATENATE("0030140000622       ","")</f>
        <v>0030140000622       </v>
      </c>
      <c r="F109" t="str">
        <f>CONCATENATE("605289454","")</f>
        <v>605289454</v>
      </c>
      <c r="G109" t="s">
        <v>206</v>
      </c>
      <c r="H109" t="s">
        <v>224</v>
      </c>
      <c r="I109" t="s">
        <v>225</v>
      </c>
      <c r="J109" t="str">
        <f t="shared" si="7"/>
        <v>080301</v>
      </c>
      <c r="K109" t="s">
        <v>22</v>
      </c>
      <c r="L109" t="s">
        <v>23</v>
      </c>
      <c r="M109" t="str">
        <f t="shared" si="12"/>
        <v>1</v>
      </c>
      <c r="O109" t="str">
        <f t="shared" si="11"/>
        <v>1 </v>
      </c>
      <c r="P109">
        <v>140.2</v>
      </c>
      <c r="Q109" t="s">
        <v>24</v>
      </c>
    </row>
    <row r="110" spans="1:17" ht="15">
      <c r="A110" t="s">
        <v>17</v>
      </c>
      <c r="B110" s="1">
        <v>43152</v>
      </c>
      <c r="C110" t="s">
        <v>111</v>
      </c>
      <c r="D110" t="str">
        <f>CONCATENATE("0070015017","")</f>
        <v>0070015017</v>
      </c>
      <c r="E110" t="str">
        <f>CONCATENATE("0030140000703       ","")</f>
        <v>0030140000703       </v>
      </c>
      <c r="F110" t="str">
        <f>CONCATENATE("606852567","")</f>
        <v>606852567</v>
      </c>
      <c r="G110" t="s">
        <v>206</v>
      </c>
      <c r="H110" t="s">
        <v>226</v>
      </c>
      <c r="I110" t="s">
        <v>227</v>
      </c>
      <c r="J110" t="str">
        <f t="shared" si="7"/>
        <v>080301</v>
      </c>
      <c r="K110" t="s">
        <v>22</v>
      </c>
      <c r="L110" t="s">
        <v>23</v>
      </c>
      <c r="M110" t="str">
        <f t="shared" si="12"/>
        <v>1</v>
      </c>
      <c r="O110" t="str">
        <f t="shared" si="11"/>
        <v>1 </v>
      </c>
      <c r="P110">
        <v>54.05</v>
      </c>
      <c r="Q110" t="s">
        <v>24</v>
      </c>
    </row>
    <row r="111" spans="1:17" ht="15">
      <c r="A111" t="s">
        <v>17</v>
      </c>
      <c r="B111" s="1">
        <v>43152</v>
      </c>
      <c r="C111" t="s">
        <v>111</v>
      </c>
      <c r="D111" t="str">
        <f>CONCATENATE("0070022520","")</f>
        <v>0070022520</v>
      </c>
      <c r="E111" t="str">
        <f>CONCATENATE("0030140001010       ","")</f>
        <v>0030140001010       </v>
      </c>
      <c r="F111" t="str">
        <f>CONCATENATE("1935707","")</f>
        <v>1935707</v>
      </c>
      <c r="G111" t="s">
        <v>216</v>
      </c>
      <c r="H111" t="s">
        <v>228</v>
      </c>
      <c r="I111" t="s">
        <v>229</v>
      </c>
      <c r="J111" t="str">
        <f t="shared" si="7"/>
        <v>080301</v>
      </c>
      <c r="K111" t="s">
        <v>22</v>
      </c>
      <c r="L111" t="s">
        <v>23</v>
      </c>
      <c r="M111" t="str">
        <f t="shared" si="12"/>
        <v>1</v>
      </c>
      <c r="O111" t="str">
        <f t="shared" si="11"/>
        <v>1 </v>
      </c>
      <c r="P111">
        <v>16.9</v>
      </c>
      <c r="Q111" t="s">
        <v>24</v>
      </c>
    </row>
    <row r="112" spans="1:17" ht="15">
      <c r="A112" t="s">
        <v>17</v>
      </c>
      <c r="B112" s="1">
        <v>43152</v>
      </c>
      <c r="C112" t="s">
        <v>111</v>
      </c>
      <c r="D112" t="str">
        <f>CONCATENATE("0070024534","")</f>
        <v>0070024534</v>
      </c>
      <c r="E112" t="str">
        <f>CONCATENATE("0030140001140       ","")</f>
        <v>0030140001140       </v>
      </c>
      <c r="F112" t="str">
        <f>CONCATENATE("607092257","")</f>
        <v>607092257</v>
      </c>
      <c r="G112" t="s">
        <v>206</v>
      </c>
      <c r="H112" t="s">
        <v>230</v>
      </c>
      <c r="I112" t="s">
        <v>231</v>
      </c>
      <c r="J112" t="str">
        <f t="shared" si="7"/>
        <v>080301</v>
      </c>
      <c r="K112" t="s">
        <v>22</v>
      </c>
      <c r="L112" t="s">
        <v>23</v>
      </c>
      <c r="M112" t="str">
        <f t="shared" si="12"/>
        <v>1</v>
      </c>
      <c r="O112" t="str">
        <f t="shared" si="11"/>
        <v>1 </v>
      </c>
      <c r="P112">
        <v>59.8</v>
      </c>
      <c r="Q112" t="s">
        <v>24</v>
      </c>
    </row>
    <row r="113" spans="1:17" ht="15">
      <c r="A113" t="s">
        <v>17</v>
      </c>
      <c r="B113" s="1">
        <v>43152</v>
      </c>
      <c r="C113" t="s">
        <v>111</v>
      </c>
      <c r="D113" t="str">
        <f>CONCATENATE("0070024516","")</f>
        <v>0070024516</v>
      </c>
      <c r="E113" t="str">
        <f>CONCATENATE("0030141000640       ","")</f>
        <v>0030141000640       </v>
      </c>
      <c r="F113" t="str">
        <f>CONCATENATE("607092483","")</f>
        <v>607092483</v>
      </c>
      <c r="G113" t="s">
        <v>232</v>
      </c>
      <c r="H113" t="s">
        <v>233</v>
      </c>
      <c r="I113" t="s">
        <v>234</v>
      </c>
      <c r="J113" t="str">
        <f t="shared" si="7"/>
        <v>080301</v>
      </c>
      <c r="K113" t="s">
        <v>22</v>
      </c>
      <c r="L113" t="s">
        <v>23</v>
      </c>
      <c r="M113" t="str">
        <f t="shared" si="12"/>
        <v>1</v>
      </c>
      <c r="O113" t="str">
        <f t="shared" si="11"/>
        <v>1 </v>
      </c>
      <c r="P113">
        <v>29.85</v>
      </c>
      <c r="Q113" t="s">
        <v>24</v>
      </c>
    </row>
    <row r="114" spans="1:17" ht="15">
      <c r="A114" t="s">
        <v>17</v>
      </c>
      <c r="B114" s="1">
        <v>43152</v>
      </c>
      <c r="C114" t="s">
        <v>111</v>
      </c>
      <c r="D114" t="str">
        <f>CONCATENATE("0070024116","")</f>
        <v>0070024116</v>
      </c>
      <c r="E114" t="str">
        <f>CONCATENATE("0030141001220       ","")</f>
        <v>0030141001220       </v>
      </c>
      <c r="F114" t="str">
        <f>CONCATENATE("607092524","")</f>
        <v>607092524</v>
      </c>
      <c r="G114" t="s">
        <v>232</v>
      </c>
      <c r="H114" t="s">
        <v>235</v>
      </c>
      <c r="I114" t="s">
        <v>236</v>
      </c>
      <c r="J114" t="str">
        <f>CONCATENATE("080302","")</f>
        <v>080302</v>
      </c>
      <c r="K114" t="s">
        <v>22</v>
      </c>
      <c r="L114" t="s">
        <v>23</v>
      </c>
      <c r="M114" t="str">
        <f t="shared" si="12"/>
        <v>1</v>
      </c>
      <c r="O114" t="str">
        <f t="shared" si="11"/>
        <v>1 </v>
      </c>
      <c r="P114">
        <v>26.3</v>
      </c>
      <c r="Q114" t="s">
        <v>24</v>
      </c>
    </row>
    <row r="115" spans="1:17" ht="15">
      <c r="A115" t="s">
        <v>17</v>
      </c>
      <c r="B115" s="1">
        <v>43152</v>
      </c>
      <c r="C115" t="s">
        <v>111</v>
      </c>
      <c r="D115" t="str">
        <f>CONCATENATE("0070001092","")</f>
        <v>0070001092</v>
      </c>
      <c r="E115" t="str">
        <f>CONCATENATE("0030145000030       ","")</f>
        <v>0030145000030       </v>
      </c>
      <c r="F115" t="str">
        <f>CONCATENATE("605393704","")</f>
        <v>605393704</v>
      </c>
      <c r="G115" t="s">
        <v>237</v>
      </c>
      <c r="H115" t="s">
        <v>238</v>
      </c>
      <c r="I115" t="s">
        <v>239</v>
      </c>
      <c r="J115" t="str">
        <f aca="true" t="shared" si="13" ref="J115:J146">CONCATENATE("080301","")</f>
        <v>080301</v>
      </c>
      <c r="K115" t="s">
        <v>22</v>
      </c>
      <c r="L115" t="s">
        <v>23</v>
      </c>
      <c r="M115" t="str">
        <f t="shared" si="12"/>
        <v>1</v>
      </c>
      <c r="O115" t="str">
        <f t="shared" si="11"/>
        <v>1 </v>
      </c>
      <c r="P115">
        <v>17.15</v>
      </c>
      <c r="Q115" t="s">
        <v>24</v>
      </c>
    </row>
    <row r="116" spans="1:17" ht="15">
      <c r="A116" t="s">
        <v>17</v>
      </c>
      <c r="B116" s="1">
        <v>43152</v>
      </c>
      <c r="C116" t="s">
        <v>111</v>
      </c>
      <c r="D116" t="str">
        <f>CONCATENATE("0070001126","")</f>
        <v>0070001126</v>
      </c>
      <c r="E116" t="str">
        <f>CONCATENATE("0030145000360       ","")</f>
        <v>0030145000360       </v>
      </c>
      <c r="F116" t="str">
        <f>CONCATENATE("2127446","")</f>
        <v>2127446</v>
      </c>
      <c r="G116" t="s">
        <v>237</v>
      </c>
      <c r="H116" t="s">
        <v>240</v>
      </c>
      <c r="I116" t="s">
        <v>239</v>
      </c>
      <c r="J116" t="str">
        <f t="shared" si="13"/>
        <v>080301</v>
      </c>
      <c r="K116" t="s">
        <v>22</v>
      </c>
      <c r="L116" t="s">
        <v>23</v>
      </c>
      <c r="M116" t="str">
        <f t="shared" si="12"/>
        <v>1</v>
      </c>
      <c r="O116" t="str">
        <f t="shared" si="11"/>
        <v>1 </v>
      </c>
      <c r="P116">
        <v>65.05</v>
      </c>
      <c r="Q116" t="s">
        <v>24</v>
      </c>
    </row>
    <row r="117" spans="1:17" ht="15">
      <c r="A117" t="s">
        <v>17</v>
      </c>
      <c r="B117" s="1">
        <v>43152</v>
      </c>
      <c r="C117" t="s">
        <v>111</v>
      </c>
      <c r="D117" t="str">
        <f>CONCATENATE("0070022076","")</f>
        <v>0070022076</v>
      </c>
      <c r="E117" t="str">
        <f>CONCATENATE("0030148000290       ","")</f>
        <v>0030148000290       </v>
      </c>
      <c r="F117" t="str">
        <f>CONCATENATE("1236312","")</f>
        <v>1236312</v>
      </c>
      <c r="G117" t="s">
        <v>241</v>
      </c>
      <c r="H117" t="s">
        <v>242</v>
      </c>
      <c r="I117" t="s">
        <v>243</v>
      </c>
      <c r="J117" t="str">
        <f t="shared" si="13"/>
        <v>080301</v>
      </c>
      <c r="K117" t="s">
        <v>22</v>
      </c>
      <c r="L117" t="s">
        <v>23</v>
      </c>
      <c r="M117" t="str">
        <f t="shared" si="12"/>
        <v>1</v>
      </c>
      <c r="O117" t="str">
        <f t="shared" si="11"/>
        <v>1 </v>
      </c>
      <c r="P117">
        <v>56.15</v>
      </c>
      <c r="Q117" t="s">
        <v>24</v>
      </c>
    </row>
    <row r="118" spans="1:17" ht="15">
      <c r="A118" t="s">
        <v>17</v>
      </c>
      <c r="B118" s="1">
        <v>43152</v>
      </c>
      <c r="C118" t="s">
        <v>111</v>
      </c>
      <c r="D118" t="str">
        <f>CONCATENATE("0070022065","")</f>
        <v>0070022065</v>
      </c>
      <c r="E118" t="str">
        <f>CONCATENATE("0030148000330       ","")</f>
        <v>0030148000330       </v>
      </c>
      <c r="F118" t="str">
        <f>CONCATENATE("1236211","")</f>
        <v>1236211</v>
      </c>
      <c r="G118" t="s">
        <v>241</v>
      </c>
      <c r="H118" t="s">
        <v>244</v>
      </c>
      <c r="I118" t="s">
        <v>243</v>
      </c>
      <c r="J118" t="str">
        <f t="shared" si="13"/>
        <v>080301</v>
      </c>
      <c r="K118" t="s">
        <v>22</v>
      </c>
      <c r="L118" t="s">
        <v>23</v>
      </c>
      <c r="M118" t="str">
        <f t="shared" si="12"/>
        <v>1</v>
      </c>
      <c r="O118" t="str">
        <f>CONCATENATE("2 ","")</f>
        <v>2 </v>
      </c>
      <c r="P118">
        <v>57.65</v>
      </c>
      <c r="Q118" t="s">
        <v>24</v>
      </c>
    </row>
    <row r="119" spans="1:17" ht="15">
      <c r="A119" t="s">
        <v>17</v>
      </c>
      <c r="B119" s="1">
        <v>43152</v>
      </c>
      <c r="C119" t="s">
        <v>111</v>
      </c>
      <c r="D119" t="str">
        <f>CONCATENATE("0070022139","")</f>
        <v>0070022139</v>
      </c>
      <c r="E119" t="str">
        <f>CONCATENATE("0030149000010       ","")</f>
        <v>0030149000010       </v>
      </c>
      <c r="F119" t="str">
        <f>CONCATENATE("1236050","")</f>
        <v>1236050</v>
      </c>
      <c r="G119" t="s">
        <v>245</v>
      </c>
      <c r="H119" t="s">
        <v>246</v>
      </c>
      <c r="I119" t="s">
        <v>247</v>
      </c>
      <c r="J119" t="str">
        <f t="shared" si="13"/>
        <v>080301</v>
      </c>
      <c r="K119" t="s">
        <v>22</v>
      </c>
      <c r="L119" t="s">
        <v>23</v>
      </c>
      <c r="M119" t="str">
        <f t="shared" si="12"/>
        <v>1</v>
      </c>
      <c r="O119" t="str">
        <f>CONCATENATE("1 ","")</f>
        <v>1 </v>
      </c>
      <c r="P119">
        <v>20.4</v>
      </c>
      <c r="Q119" t="s">
        <v>24</v>
      </c>
    </row>
    <row r="120" spans="1:17" ht="15">
      <c r="A120" t="s">
        <v>17</v>
      </c>
      <c r="B120" s="1">
        <v>43152</v>
      </c>
      <c r="C120" t="s">
        <v>111</v>
      </c>
      <c r="D120" t="str">
        <f>CONCATENATE("0070022161","")</f>
        <v>0070022161</v>
      </c>
      <c r="E120" t="str">
        <f>CONCATENATE("0030149000410       ","")</f>
        <v>0030149000410       </v>
      </c>
      <c r="F120" t="str">
        <f>CONCATENATE("1236037","")</f>
        <v>1236037</v>
      </c>
      <c r="G120" t="s">
        <v>245</v>
      </c>
      <c r="H120" t="s">
        <v>248</v>
      </c>
      <c r="I120" t="s">
        <v>247</v>
      </c>
      <c r="J120" t="str">
        <f t="shared" si="13"/>
        <v>080301</v>
      </c>
      <c r="K120" t="s">
        <v>22</v>
      </c>
      <c r="L120" t="s">
        <v>23</v>
      </c>
      <c r="M120" t="str">
        <f t="shared" si="12"/>
        <v>1</v>
      </c>
      <c r="O120" t="str">
        <f>CONCATENATE("1 ","")</f>
        <v>1 </v>
      </c>
      <c r="P120">
        <v>70.75</v>
      </c>
      <c r="Q120" t="s">
        <v>24</v>
      </c>
    </row>
    <row r="121" spans="1:17" ht="15">
      <c r="A121" t="s">
        <v>17</v>
      </c>
      <c r="B121" s="1">
        <v>43152</v>
      </c>
      <c r="C121" t="s">
        <v>111</v>
      </c>
      <c r="D121" t="str">
        <f>CONCATENATE("0070024143","")</f>
        <v>0070024143</v>
      </c>
      <c r="E121" t="str">
        <f>CONCATENATE("0030150000385       ","")</f>
        <v>0030150000385       </v>
      </c>
      <c r="F121" t="str">
        <f>CONCATENATE("606756055","")</f>
        <v>606756055</v>
      </c>
      <c r="G121" t="s">
        <v>249</v>
      </c>
      <c r="H121" t="s">
        <v>250</v>
      </c>
      <c r="I121" t="s">
        <v>251</v>
      </c>
      <c r="J121" t="str">
        <f t="shared" si="13"/>
        <v>080301</v>
      </c>
      <c r="K121" t="s">
        <v>22</v>
      </c>
      <c r="L121" t="s">
        <v>23</v>
      </c>
      <c r="M121" t="str">
        <f t="shared" si="12"/>
        <v>1</v>
      </c>
      <c r="O121" t="str">
        <f>CONCATENATE("4 ","")</f>
        <v>4 </v>
      </c>
      <c r="P121">
        <v>165.1</v>
      </c>
      <c r="Q121" t="s">
        <v>24</v>
      </c>
    </row>
    <row r="122" spans="1:17" ht="15">
      <c r="A122" t="s">
        <v>17</v>
      </c>
      <c r="B122" s="1">
        <v>43152</v>
      </c>
      <c r="C122" t="s">
        <v>111</v>
      </c>
      <c r="D122" t="str">
        <f>CONCATENATE("0070020121","")</f>
        <v>0070020121</v>
      </c>
      <c r="E122" t="str">
        <f>CONCATENATE("0030150000530       ","")</f>
        <v>0030150000530       </v>
      </c>
      <c r="F122" t="str">
        <f>CONCATENATE("507009137","")</f>
        <v>507009137</v>
      </c>
      <c r="G122" t="s">
        <v>249</v>
      </c>
      <c r="H122" t="s">
        <v>252</v>
      </c>
      <c r="I122" t="s">
        <v>253</v>
      </c>
      <c r="J122" t="str">
        <f t="shared" si="13"/>
        <v>080301</v>
      </c>
      <c r="K122" t="s">
        <v>22</v>
      </c>
      <c r="L122" t="s">
        <v>23</v>
      </c>
      <c r="M122" t="str">
        <f>CONCATENATE("3","")</f>
        <v>3</v>
      </c>
      <c r="O122" t="str">
        <f>CONCATENATE("1 ","")</f>
        <v>1 </v>
      </c>
      <c r="P122">
        <v>31.05</v>
      </c>
      <c r="Q122" t="s">
        <v>51</v>
      </c>
    </row>
    <row r="123" spans="1:17" ht="15">
      <c r="A123" t="s">
        <v>17</v>
      </c>
      <c r="B123" s="1">
        <v>43152</v>
      </c>
      <c r="C123" t="s">
        <v>111</v>
      </c>
      <c r="D123" t="str">
        <f>CONCATENATE("0070001211","")</f>
        <v>0070001211</v>
      </c>
      <c r="E123" t="str">
        <f>CONCATENATE("0030150000670       ","")</f>
        <v>0030150000670       </v>
      </c>
      <c r="F123" t="str">
        <f>CONCATENATE("606848578","")</f>
        <v>606848578</v>
      </c>
      <c r="G123" t="s">
        <v>249</v>
      </c>
      <c r="H123" t="s">
        <v>254</v>
      </c>
      <c r="I123" t="s">
        <v>255</v>
      </c>
      <c r="J123" t="str">
        <f t="shared" si="13"/>
        <v>080301</v>
      </c>
      <c r="K123" t="s">
        <v>22</v>
      </c>
      <c r="L123" t="s">
        <v>23</v>
      </c>
      <c r="M123" t="str">
        <f aca="true" t="shared" si="14" ref="M123:M129">CONCATENATE("1","")</f>
        <v>1</v>
      </c>
      <c r="O123" t="str">
        <f>CONCATENATE("1 ","")</f>
        <v>1 </v>
      </c>
      <c r="P123">
        <v>11.85</v>
      </c>
      <c r="Q123" t="s">
        <v>24</v>
      </c>
    </row>
    <row r="124" spans="1:17" ht="15">
      <c r="A124" t="s">
        <v>17</v>
      </c>
      <c r="B124" s="1">
        <v>43152</v>
      </c>
      <c r="C124" t="s">
        <v>111</v>
      </c>
      <c r="D124" t="str">
        <f>CONCATENATE("0070001221","")</f>
        <v>0070001221</v>
      </c>
      <c r="E124" t="str">
        <f>CONCATENATE("0030150000810       ","")</f>
        <v>0030150000810       </v>
      </c>
      <c r="F124" t="str">
        <f>CONCATENATE("2124968","")</f>
        <v>2124968</v>
      </c>
      <c r="G124" t="s">
        <v>249</v>
      </c>
      <c r="H124" t="s">
        <v>256</v>
      </c>
      <c r="I124" t="s">
        <v>255</v>
      </c>
      <c r="J124" t="str">
        <f t="shared" si="13"/>
        <v>080301</v>
      </c>
      <c r="K124" t="s">
        <v>22</v>
      </c>
      <c r="L124" t="s">
        <v>23</v>
      </c>
      <c r="M124" t="str">
        <f t="shared" si="14"/>
        <v>1</v>
      </c>
      <c r="O124" t="str">
        <f>CONCATENATE("1 ","")</f>
        <v>1 </v>
      </c>
      <c r="P124">
        <v>40.3</v>
      </c>
      <c r="Q124" t="s">
        <v>24</v>
      </c>
    </row>
    <row r="125" spans="1:17" ht="15">
      <c r="A125" t="s">
        <v>17</v>
      </c>
      <c r="B125" s="1">
        <v>43152</v>
      </c>
      <c r="C125" t="s">
        <v>111</v>
      </c>
      <c r="D125" t="str">
        <f>CONCATENATE("0070001230","")</f>
        <v>0070001230</v>
      </c>
      <c r="E125" t="str">
        <f>CONCATENATE("0030150000940       ","")</f>
        <v>0030150000940       </v>
      </c>
      <c r="F125" t="str">
        <f>CONCATENATE("605231549","")</f>
        <v>605231549</v>
      </c>
      <c r="G125" t="s">
        <v>249</v>
      </c>
      <c r="H125" t="s">
        <v>257</v>
      </c>
      <c r="I125" t="s">
        <v>255</v>
      </c>
      <c r="J125" t="str">
        <f t="shared" si="13"/>
        <v>080301</v>
      </c>
      <c r="K125" t="s">
        <v>22</v>
      </c>
      <c r="L125" t="s">
        <v>23</v>
      </c>
      <c r="M125" t="str">
        <f t="shared" si="14"/>
        <v>1</v>
      </c>
      <c r="O125" t="str">
        <f>CONCATENATE("6 ","")</f>
        <v>6 </v>
      </c>
      <c r="P125">
        <v>42.4</v>
      </c>
      <c r="Q125" t="s">
        <v>24</v>
      </c>
    </row>
    <row r="126" spans="1:17" ht="15">
      <c r="A126" t="s">
        <v>17</v>
      </c>
      <c r="B126" s="1">
        <v>43152</v>
      </c>
      <c r="C126" t="s">
        <v>111</v>
      </c>
      <c r="D126" t="str">
        <f>CONCATENATE("0070001237","")</f>
        <v>0070001237</v>
      </c>
      <c r="E126" t="str">
        <f>CONCATENATE("0030150001020       ","")</f>
        <v>0030150001020       </v>
      </c>
      <c r="F126" t="str">
        <f>CONCATENATE("1939239","")</f>
        <v>1939239</v>
      </c>
      <c r="G126" t="s">
        <v>249</v>
      </c>
      <c r="H126" t="s">
        <v>258</v>
      </c>
      <c r="I126" t="s">
        <v>255</v>
      </c>
      <c r="J126" t="str">
        <f t="shared" si="13"/>
        <v>080301</v>
      </c>
      <c r="K126" t="s">
        <v>22</v>
      </c>
      <c r="L126" t="s">
        <v>23</v>
      </c>
      <c r="M126" t="str">
        <f t="shared" si="14"/>
        <v>1</v>
      </c>
      <c r="O126" t="str">
        <f>CONCATENATE("1 ","")</f>
        <v>1 </v>
      </c>
      <c r="P126">
        <v>58.35</v>
      </c>
      <c r="Q126" t="s">
        <v>24</v>
      </c>
    </row>
    <row r="127" spans="1:17" ht="15">
      <c r="A127" t="s">
        <v>17</v>
      </c>
      <c r="B127" s="1">
        <v>43152</v>
      </c>
      <c r="C127" t="s">
        <v>111</v>
      </c>
      <c r="D127" t="str">
        <f>CONCATENATE("0070001261","")</f>
        <v>0070001261</v>
      </c>
      <c r="E127" t="str">
        <f>CONCATENATE("0030150001340       ","")</f>
        <v>0030150001340       </v>
      </c>
      <c r="F127" t="str">
        <f>CONCATENATE("605158237","")</f>
        <v>605158237</v>
      </c>
      <c r="G127" t="s">
        <v>249</v>
      </c>
      <c r="H127" t="s">
        <v>259</v>
      </c>
      <c r="I127" t="s">
        <v>255</v>
      </c>
      <c r="J127" t="str">
        <f t="shared" si="13"/>
        <v>080301</v>
      </c>
      <c r="K127" t="s">
        <v>22</v>
      </c>
      <c r="L127" t="s">
        <v>23</v>
      </c>
      <c r="M127" t="str">
        <f t="shared" si="14"/>
        <v>1</v>
      </c>
      <c r="O127" t="str">
        <f>CONCATENATE("1 ","")</f>
        <v>1 </v>
      </c>
      <c r="P127">
        <v>29</v>
      </c>
      <c r="Q127" t="s">
        <v>24</v>
      </c>
    </row>
    <row r="128" spans="1:17" ht="15">
      <c r="A128" t="s">
        <v>17</v>
      </c>
      <c r="B128" s="1">
        <v>43152</v>
      </c>
      <c r="C128" t="s">
        <v>111</v>
      </c>
      <c r="D128" t="str">
        <f>CONCATENATE("0070001278","")</f>
        <v>0070001278</v>
      </c>
      <c r="E128" t="str">
        <f>CONCATENATE("0030151002120       ","")</f>
        <v>0030151002120       </v>
      </c>
      <c r="F128" t="str">
        <f>CONCATENATE("605618139","")</f>
        <v>605618139</v>
      </c>
      <c r="G128" t="s">
        <v>260</v>
      </c>
      <c r="H128" t="s">
        <v>261</v>
      </c>
      <c r="I128" t="s">
        <v>262</v>
      </c>
      <c r="J128" t="str">
        <f t="shared" si="13"/>
        <v>080301</v>
      </c>
      <c r="K128" t="s">
        <v>22</v>
      </c>
      <c r="L128" t="s">
        <v>23</v>
      </c>
      <c r="M128" t="str">
        <f t="shared" si="14"/>
        <v>1</v>
      </c>
      <c r="O128" t="str">
        <f>CONCATENATE("1 ","")</f>
        <v>1 </v>
      </c>
      <c r="P128">
        <v>35.6</v>
      </c>
      <c r="Q128" t="s">
        <v>24</v>
      </c>
    </row>
    <row r="129" spans="1:17" ht="15">
      <c r="A129" t="s">
        <v>17</v>
      </c>
      <c r="B129" s="1">
        <v>43152</v>
      </c>
      <c r="C129" t="s">
        <v>111</v>
      </c>
      <c r="D129" t="str">
        <f>CONCATENATE("0070014858","")</f>
        <v>0070014858</v>
      </c>
      <c r="E129" t="str">
        <f>CONCATENATE("0030152001090       ","")</f>
        <v>0030152001090       </v>
      </c>
      <c r="F129" t="str">
        <f>CONCATENATE("606900641","")</f>
        <v>606900641</v>
      </c>
      <c r="G129" t="s">
        <v>263</v>
      </c>
      <c r="H129" t="s">
        <v>264</v>
      </c>
      <c r="I129" t="s">
        <v>265</v>
      </c>
      <c r="J129" t="str">
        <f t="shared" si="13"/>
        <v>080301</v>
      </c>
      <c r="K129" t="s">
        <v>22</v>
      </c>
      <c r="L129" t="s">
        <v>23</v>
      </c>
      <c r="M129" t="str">
        <f t="shared" si="14"/>
        <v>1</v>
      </c>
      <c r="O129" t="str">
        <f>CONCATENATE("1 ","")</f>
        <v>1 </v>
      </c>
      <c r="P129">
        <v>10.45</v>
      </c>
      <c r="Q129" t="s">
        <v>24</v>
      </c>
    </row>
    <row r="130" spans="1:17" ht="15">
      <c r="A130" t="s">
        <v>17</v>
      </c>
      <c r="B130" s="1">
        <v>43152</v>
      </c>
      <c r="C130" t="s">
        <v>111</v>
      </c>
      <c r="D130" t="str">
        <f>CONCATENATE("0070001337","")</f>
        <v>0070001337</v>
      </c>
      <c r="E130" t="str">
        <f>CONCATENATE("0030152004260       ","")</f>
        <v>0030152004260       </v>
      </c>
      <c r="F130" t="str">
        <f>CONCATENATE("607640222","")</f>
        <v>607640222</v>
      </c>
      <c r="G130" t="s">
        <v>263</v>
      </c>
      <c r="H130" t="s">
        <v>266</v>
      </c>
      <c r="I130" t="s">
        <v>267</v>
      </c>
      <c r="J130" t="str">
        <f t="shared" si="13"/>
        <v>080301</v>
      </c>
      <c r="K130" t="s">
        <v>22</v>
      </c>
      <c r="L130" t="s">
        <v>23</v>
      </c>
      <c r="M130" t="str">
        <f>CONCATENATE("3","")</f>
        <v>3</v>
      </c>
      <c r="O130" t="str">
        <f>CONCATENATE("2 ","")</f>
        <v>2 </v>
      </c>
      <c r="P130">
        <v>930.35</v>
      </c>
      <c r="Q130" t="s">
        <v>51</v>
      </c>
    </row>
    <row r="131" spans="1:17" ht="15">
      <c r="A131" t="s">
        <v>17</v>
      </c>
      <c r="B131" s="1">
        <v>43152</v>
      </c>
      <c r="C131" t="s">
        <v>111</v>
      </c>
      <c r="D131" t="str">
        <f>CONCATENATE("0070012593","")</f>
        <v>0070012593</v>
      </c>
      <c r="E131" t="str">
        <f>CONCATENATE("0030155000140       ","")</f>
        <v>0030155000140       </v>
      </c>
      <c r="F131" t="str">
        <f>CONCATENATE("605232313","")</f>
        <v>605232313</v>
      </c>
      <c r="G131" t="s">
        <v>268</v>
      </c>
      <c r="H131" t="s">
        <v>269</v>
      </c>
      <c r="I131" t="s">
        <v>270</v>
      </c>
      <c r="J131" t="str">
        <f t="shared" si="13"/>
        <v>080301</v>
      </c>
      <c r="K131" t="s">
        <v>22</v>
      </c>
      <c r="L131" t="s">
        <v>23</v>
      </c>
      <c r="M131" t="str">
        <f>CONCATENATE("1","")</f>
        <v>1</v>
      </c>
      <c r="O131" t="str">
        <f>CONCATENATE("1 ","")</f>
        <v>1 </v>
      </c>
      <c r="P131">
        <v>10.3</v>
      </c>
      <c r="Q131" t="s">
        <v>24</v>
      </c>
    </row>
    <row r="132" spans="1:17" ht="15">
      <c r="A132" t="s">
        <v>17</v>
      </c>
      <c r="B132" s="1">
        <v>43152</v>
      </c>
      <c r="C132" t="s">
        <v>111</v>
      </c>
      <c r="D132" t="str">
        <f>CONCATENATE("0070001358","")</f>
        <v>0070001358</v>
      </c>
      <c r="E132" t="str">
        <f>CONCATENATE("0030155000280       ","")</f>
        <v>0030155000280       </v>
      </c>
      <c r="F132" t="str">
        <f>CONCATENATE("605755421","")</f>
        <v>605755421</v>
      </c>
      <c r="G132" t="s">
        <v>268</v>
      </c>
      <c r="H132" t="s">
        <v>271</v>
      </c>
      <c r="I132" t="s">
        <v>272</v>
      </c>
      <c r="J132" t="str">
        <f t="shared" si="13"/>
        <v>080301</v>
      </c>
      <c r="K132" t="s">
        <v>22</v>
      </c>
      <c r="L132" t="s">
        <v>23</v>
      </c>
      <c r="M132" t="str">
        <f>CONCATENATE("1","")</f>
        <v>1</v>
      </c>
      <c r="O132" t="str">
        <f>CONCATENATE("1 ","")</f>
        <v>1 </v>
      </c>
      <c r="P132">
        <v>10.8</v>
      </c>
      <c r="Q132" t="s">
        <v>24</v>
      </c>
    </row>
    <row r="133" spans="1:17" ht="15">
      <c r="A133" t="s">
        <v>17</v>
      </c>
      <c r="B133" s="1">
        <v>43152</v>
      </c>
      <c r="C133" t="s">
        <v>111</v>
      </c>
      <c r="D133" t="str">
        <f>CONCATENATE("0070020116","")</f>
        <v>0070020116</v>
      </c>
      <c r="E133" t="str">
        <f>CONCATENATE("0030155000475       ","")</f>
        <v>0030155000475       </v>
      </c>
      <c r="F133" t="str">
        <f>CONCATENATE("605938421","")</f>
        <v>605938421</v>
      </c>
      <c r="G133" t="s">
        <v>268</v>
      </c>
      <c r="H133" t="s">
        <v>273</v>
      </c>
      <c r="I133" t="s">
        <v>274</v>
      </c>
      <c r="J133" t="str">
        <f t="shared" si="13"/>
        <v>080301</v>
      </c>
      <c r="K133" t="s">
        <v>22</v>
      </c>
      <c r="L133" t="s">
        <v>23</v>
      </c>
      <c r="M133" t="str">
        <f>CONCATENATE("1","")</f>
        <v>1</v>
      </c>
      <c r="N133" t="str">
        <f>CONCATENATE("084315272","")</f>
        <v>084315272</v>
      </c>
      <c r="O133" t="str">
        <f>CONCATENATE("1 ","")</f>
        <v>1 </v>
      </c>
      <c r="P133">
        <v>12.1</v>
      </c>
      <c r="Q133" t="s">
        <v>24</v>
      </c>
    </row>
    <row r="134" spans="1:17" ht="15">
      <c r="A134" t="s">
        <v>17</v>
      </c>
      <c r="B134" s="1">
        <v>43152</v>
      </c>
      <c r="C134" t="s">
        <v>111</v>
      </c>
      <c r="D134" t="str">
        <f>CONCATENATE("0070027106","")</f>
        <v>0070027106</v>
      </c>
      <c r="E134" t="str">
        <f>CONCATENATE("0030155000857       ","")</f>
        <v>0030155000857       </v>
      </c>
      <c r="F134" t="str">
        <f>CONCATENATE("607429594","")</f>
        <v>607429594</v>
      </c>
      <c r="G134" t="s">
        <v>268</v>
      </c>
      <c r="H134" t="s">
        <v>275</v>
      </c>
      <c r="I134" t="e">
        <f>-SECTOR-MARKJO---PREDIO-MANCHA</f>
        <v>#NAME?</v>
      </c>
      <c r="J134" t="str">
        <f t="shared" si="13"/>
        <v>080301</v>
      </c>
      <c r="K134" t="s">
        <v>22</v>
      </c>
      <c r="L134" t="s">
        <v>23</v>
      </c>
      <c r="M134" t="str">
        <f>CONCATENATE("4","")</f>
        <v>4</v>
      </c>
      <c r="O134" t="str">
        <f>CONCATENATE("1 ","")</f>
        <v>1 </v>
      </c>
      <c r="P134">
        <v>32.45</v>
      </c>
      <c r="Q134" t="s">
        <v>51</v>
      </c>
    </row>
    <row r="135" spans="1:17" ht="15">
      <c r="A135" t="s">
        <v>17</v>
      </c>
      <c r="B135" s="1">
        <v>43152</v>
      </c>
      <c r="C135" t="s">
        <v>111</v>
      </c>
      <c r="D135" t="str">
        <f>CONCATENATE("0070015848","")</f>
        <v>0070015848</v>
      </c>
      <c r="E135" t="str">
        <f>CONCATENATE("0030161000075       ","")</f>
        <v>0030161000075       </v>
      </c>
      <c r="F135" t="str">
        <f>CONCATENATE("606900649","")</f>
        <v>606900649</v>
      </c>
      <c r="G135" t="s">
        <v>276</v>
      </c>
      <c r="H135" t="s">
        <v>277</v>
      </c>
      <c r="I135" t="s">
        <v>278</v>
      </c>
      <c r="J135" t="str">
        <f t="shared" si="13"/>
        <v>080301</v>
      </c>
      <c r="K135" t="s">
        <v>22</v>
      </c>
      <c r="L135" t="s">
        <v>23</v>
      </c>
      <c r="M135" t="str">
        <f aca="true" t="shared" si="15" ref="M135:M144">CONCATENATE("1","")</f>
        <v>1</v>
      </c>
      <c r="O135" t="str">
        <f>CONCATENATE("2 ","")</f>
        <v>2 </v>
      </c>
      <c r="P135">
        <v>16.15</v>
      </c>
      <c r="Q135" t="s">
        <v>24</v>
      </c>
    </row>
    <row r="136" spans="1:17" ht="15">
      <c r="A136" t="s">
        <v>17</v>
      </c>
      <c r="B136" s="1">
        <v>43152</v>
      </c>
      <c r="C136" t="s">
        <v>111</v>
      </c>
      <c r="D136" t="str">
        <f>CONCATENATE("0070012266","")</f>
        <v>0070012266</v>
      </c>
      <c r="E136" t="str">
        <f>CONCATENATE("0030161000305       ","")</f>
        <v>0030161000305       </v>
      </c>
      <c r="F136" t="str">
        <f>CONCATENATE("605755428","")</f>
        <v>605755428</v>
      </c>
      <c r="G136" t="s">
        <v>276</v>
      </c>
      <c r="H136" t="s">
        <v>279</v>
      </c>
      <c r="I136" t="s">
        <v>280</v>
      </c>
      <c r="J136" t="str">
        <f t="shared" si="13"/>
        <v>080301</v>
      </c>
      <c r="K136" t="s">
        <v>22</v>
      </c>
      <c r="L136" t="s">
        <v>23</v>
      </c>
      <c r="M136" t="str">
        <f t="shared" si="15"/>
        <v>1</v>
      </c>
      <c r="O136" t="str">
        <f>CONCATENATE("2 ","")</f>
        <v>2 </v>
      </c>
      <c r="P136">
        <v>20.85</v>
      </c>
      <c r="Q136" t="s">
        <v>24</v>
      </c>
    </row>
    <row r="137" spans="1:17" ht="15">
      <c r="A137" t="s">
        <v>17</v>
      </c>
      <c r="B137" s="1">
        <v>43152</v>
      </c>
      <c r="C137" t="s">
        <v>111</v>
      </c>
      <c r="D137" t="str">
        <f>CONCATENATE("0070010361","")</f>
        <v>0070010361</v>
      </c>
      <c r="E137" t="str">
        <f>CONCATENATE("0030161000660       ","")</f>
        <v>0030161000660       </v>
      </c>
      <c r="F137" t="str">
        <f>CONCATENATE("605765533","")</f>
        <v>605765533</v>
      </c>
      <c r="G137" t="s">
        <v>276</v>
      </c>
      <c r="H137" t="s">
        <v>281</v>
      </c>
      <c r="I137" t="s">
        <v>282</v>
      </c>
      <c r="J137" t="str">
        <f t="shared" si="13"/>
        <v>080301</v>
      </c>
      <c r="K137" t="s">
        <v>22</v>
      </c>
      <c r="L137" t="s">
        <v>23</v>
      </c>
      <c r="M137" t="str">
        <f t="shared" si="15"/>
        <v>1</v>
      </c>
      <c r="O137" t="str">
        <f>CONCATENATE("3 ","")</f>
        <v>3 </v>
      </c>
      <c r="P137">
        <v>32</v>
      </c>
      <c r="Q137" t="s">
        <v>24</v>
      </c>
    </row>
    <row r="138" spans="1:17" ht="15">
      <c r="A138" t="s">
        <v>17</v>
      </c>
      <c r="B138" s="1">
        <v>43152</v>
      </c>
      <c r="C138" t="s">
        <v>111</v>
      </c>
      <c r="D138" t="str">
        <f>CONCATENATE("0070021107","")</f>
        <v>0070021107</v>
      </c>
      <c r="E138" t="str">
        <f>CONCATENATE("0030165000085       ","")</f>
        <v>0030165000085       </v>
      </c>
      <c r="F138" t="str">
        <f>CONCATENATE("1671917","")</f>
        <v>1671917</v>
      </c>
      <c r="G138" t="s">
        <v>283</v>
      </c>
      <c r="H138" t="s">
        <v>284</v>
      </c>
      <c r="I138" t="s">
        <v>285</v>
      </c>
      <c r="J138" t="str">
        <f t="shared" si="13"/>
        <v>080301</v>
      </c>
      <c r="K138" t="s">
        <v>22</v>
      </c>
      <c r="L138" t="s">
        <v>23</v>
      </c>
      <c r="M138" t="str">
        <f t="shared" si="15"/>
        <v>1</v>
      </c>
      <c r="O138" t="str">
        <f>CONCATENATE("1 ","")</f>
        <v>1 </v>
      </c>
      <c r="P138">
        <v>186.65</v>
      </c>
      <c r="Q138" t="s">
        <v>24</v>
      </c>
    </row>
    <row r="139" spans="1:17" ht="15">
      <c r="A139" t="s">
        <v>17</v>
      </c>
      <c r="B139" s="1">
        <v>43152</v>
      </c>
      <c r="C139" t="s">
        <v>111</v>
      </c>
      <c r="D139" t="str">
        <f>CONCATENATE("0070022103","")</f>
        <v>0070022103</v>
      </c>
      <c r="E139" t="str">
        <f>CONCATENATE("0030165000143       ","")</f>
        <v>0030165000143       </v>
      </c>
      <c r="F139" t="str">
        <f>CONCATENATE("1936931","")</f>
        <v>1936931</v>
      </c>
      <c r="G139" t="s">
        <v>283</v>
      </c>
      <c r="H139" t="s">
        <v>286</v>
      </c>
      <c r="I139" t="s">
        <v>287</v>
      </c>
      <c r="J139" t="str">
        <f t="shared" si="13"/>
        <v>080301</v>
      </c>
      <c r="K139" t="s">
        <v>22</v>
      </c>
      <c r="L139" t="s">
        <v>23</v>
      </c>
      <c r="M139" t="str">
        <f t="shared" si="15"/>
        <v>1</v>
      </c>
      <c r="O139" t="str">
        <f>CONCATENATE("7 ","")</f>
        <v>7 </v>
      </c>
      <c r="P139">
        <v>57.75</v>
      </c>
      <c r="Q139" t="s">
        <v>24</v>
      </c>
    </row>
    <row r="140" spans="1:17" ht="15">
      <c r="A140" t="s">
        <v>17</v>
      </c>
      <c r="B140" s="1">
        <v>43152</v>
      </c>
      <c r="C140" t="s">
        <v>111</v>
      </c>
      <c r="D140" t="str">
        <f>CONCATENATE("0070001479","")</f>
        <v>0070001479</v>
      </c>
      <c r="E140" t="str">
        <f>CONCATENATE("0030165000195       ","")</f>
        <v>0030165000195       </v>
      </c>
      <c r="F140" t="str">
        <f>CONCATENATE("606842379","")</f>
        <v>606842379</v>
      </c>
      <c r="G140" t="s">
        <v>283</v>
      </c>
      <c r="H140" t="s">
        <v>288</v>
      </c>
      <c r="I140" t="s">
        <v>289</v>
      </c>
      <c r="J140" t="str">
        <f t="shared" si="13"/>
        <v>080301</v>
      </c>
      <c r="K140" t="s">
        <v>22</v>
      </c>
      <c r="L140" t="s">
        <v>23</v>
      </c>
      <c r="M140" t="str">
        <f t="shared" si="15"/>
        <v>1</v>
      </c>
      <c r="O140" t="str">
        <f aca="true" t="shared" si="16" ref="O140:O154">CONCATENATE("1 ","")</f>
        <v>1 </v>
      </c>
      <c r="P140">
        <v>22.15</v>
      </c>
      <c r="Q140" t="s">
        <v>24</v>
      </c>
    </row>
    <row r="141" spans="1:17" ht="15">
      <c r="A141" t="s">
        <v>17</v>
      </c>
      <c r="B141" s="1">
        <v>43152</v>
      </c>
      <c r="C141" t="s">
        <v>111</v>
      </c>
      <c r="D141" t="str">
        <f>CONCATENATE("0070001506","")</f>
        <v>0070001506</v>
      </c>
      <c r="E141" t="str">
        <f>CONCATENATE("0030170000045       ","")</f>
        <v>0030170000045       </v>
      </c>
      <c r="F141" t="str">
        <f>CONCATENATE("606898337","")</f>
        <v>606898337</v>
      </c>
      <c r="G141" t="s">
        <v>290</v>
      </c>
      <c r="H141" t="s">
        <v>291</v>
      </c>
      <c r="I141" t="s">
        <v>292</v>
      </c>
      <c r="J141" t="str">
        <f t="shared" si="13"/>
        <v>080301</v>
      </c>
      <c r="K141" t="s">
        <v>22</v>
      </c>
      <c r="L141" t="s">
        <v>23</v>
      </c>
      <c r="M141" t="str">
        <f t="shared" si="15"/>
        <v>1</v>
      </c>
      <c r="O141" t="str">
        <f t="shared" si="16"/>
        <v>1 </v>
      </c>
      <c r="P141">
        <v>30.8</v>
      </c>
      <c r="Q141" t="s">
        <v>24</v>
      </c>
    </row>
    <row r="142" spans="1:17" ht="15">
      <c r="A142" t="s">
        <v>17</v>
      </c>
      <c r="B142" s="1">
        <v>43152</v>
      </c>
      <c r="C142" t="s">
        <v>111</v>
      </c>
      <c r="D142" t="str">
        <f>CONCATENATE("0070001512","")</f>
        <v>0070001512</v>
      </c>
      <c r="E142" t="str">
        <f>CONCATENATE("0030170000080       ","")</f>
        <v>0030170000080       </v>
      </c>
      <c r="F142" t="str">
        <f>CONCATENATE("605231087","")</f>
        <v>605231087</v>
      </c>
      <c r="G142" t="s">
        <v>290</v>
      </c>
      <c r="H142" t="s">
        <v>293</v>
      </c>
      <c r="I142" t="s">
        <v>294</v>
      </c>
      <c r="J142" t="str">
        <f t="shared" si="13"/>
        <v>080301</v>
      </c>
      <c r="K142" t="s">
        <v>22</v>
      </c>
      <c r="L142" t="s">
        <v>23</v>
      </c>
      <c r="M142" t="str">
        <f t="shared" si="15"/>
        <v>1</v>
      </c>
      <c r="O142" t="str">
        <f t="shared" si="16"/>
        <v>1 </v>
      </c>
      <c r="P142">
        <v>26.6</v>
      </c>
      <c r="Q142" t="s">
        <v>24</v>
      </c>
    </row>
    <row r="143" spans="1:17" ht="15">
      <c r="A143" t="s">
        <v>17</v>
      </c>
      <c r="B143" s="1">
        <v>43152</v>
      </c>
      <c r="C143" t="s">
        <v>111</v>
      </c>
      <c r="D143" t="str">
        <f>CONCATENATE("0070001513","")</f>
        <v>0070001513</v>
      </c>
      <c r="E143" t="str">
        <f>CONCATENATE("0030170000090       ","")</f>
        <v>0030170000090       </v>
      </c>
      <c r="F143" t="str">
        <f>CONCATENATE("605088042","")</f>
        <v>605088042</v>
      </c>
      <c r="G143" t="s">
        <v>290</v>
      </c>
      <c r="H143" t="s">
        <v>295</v>
      </c>
      <c r="I143" t="s">
        <v>294</v>
      </c>
      <c r="J143" t="str">
        <f t="shared" si="13"/>
        <v>080301</v>
      </c>
      <c r="K143" t="s">
        <v>22</v>
      </c>
      <c r="L143" t="s">
        <v>23</v>
      </c>
      <c r="M143" t="str">
        <f t="shared" si="15"/>
        <v>1</v>
      </c>
      <c r="O143" t="str">
        <f t="shared" si="16"/>
        <v>1 </v>
      </c>
      <c r="P143">
        <v>36</v>
      </c>
      <c r="Q143" t="s">
        <v>24</v>
      </c>
    </row>
    <row r="144" spans="1:17" ht="15">
      <c r="A144" t="s">
        <v>17</v>
      </c>
      <c r="B144" s="1">
        <v>43152</v>
      </c>
      <c r="C144" t="s">
        <v>111</v>
      </c>
      <c r="D144" t="str">
        <f>CONCATENATE("0070001531","")</f>
        <v>0070001531</v>
      </c>
      <c r="E144" t="str">
        <f>CONCATENATE("0030170000225       ","")</f>
        <v>0030170000225       </v>
      </c>
      <c r="F144" t="str">
        <f>CONCATENATE("605349251","")</f>
        <v>605349251</v>
      </c>
      <c r="G144" t="s">
        <v>290</v>
      </c>
      <c r="H144" t="s">
        <v>296</v>
      </c>
      <c r="I144" t="s">
        <v>297</v>
      </c>
      <c r="J144" t="str">
        <f t="shared" si="13"/>
        <v>080301</v>
      </c>
      <c r="K144" t="s">
        <v>22</v>
      </c>
      <c r="L144" t="s">
        <v>23</v>
      </c>
      <c r="M144" t="str">
        <f t="shared" si="15"/>
        <v>1</v>
      </c>
      <c r="O144" t="str">
        <f t="shared" si="16"/>
        <v>1 </v>
      </c>
      <c r="P144">
        <v>89.7</v>
      </c>
      <c r="Q144" t="s">
        <v>24</v>
      </c>
    </row>
    <row r="145" spans="1:17" ht="15">
      <c r="A145" t="s">
        <v>17</v>
      </c>
      <c r="B145" s="1">
        <v>43152</v>
      </c>
      <c r="C145" t="s">
        <v>111</v>
      </c>
      <c r="D145" t="str">
        <f>CONCATENATE("0070023907","")</f>
        <v>0070023907</v>
      </c>
      <c r="E145" t="str">
        <f>CONCATENATE("0030170000444       ","")</f>
        <v>0030170000444       </v>
      </c>
      <c r="F145" t="str">
        <f>CONCATENATE("1770184","")</f>
        <v>1770184</v>
      </c>
      <c r="G145" t="s">
        <v>290</v>
      </c>
      <c r="H145" t="s">
        <v>298</v>
      </c>
      <c r="I145" t="s">
        <v>299</v>
      </c>
      <c r="J145" t="str">
        <f t="shared" si="13"/>
        <v>080301</v>
      </c>
      <c r="K145" t="s">
        <v>22</v>
      </c>
      <c r="L145" t="s">
        <v>23</v>
      </c>
      <c r="M145" t="str">
        <f>CONCATENATE("3","")</f>
        <v>3</v>
      </c>
      <c r="O145" t="str">
        <f t="shared" si="16"/>
        <v>1 </v>
      </c>
      <c r="P145">
        <v>76.65</v>
      </c>
      <c r="Q145" t="s">
        <v>51</v>
      </c>
    </row>
    <row r="146" spans="1:17" ht="15">
      <c r="A146" t="s">
        <v>17</v>
      </c>
      <c r="B146" s="1">
        <v>43152</v>
      </c>
      <c r="C146" t="s">
        <v>111</v>
      </c>
      <c r="D146" t="str">
        <f>CONCATENATE("0070015350","")</f>
        <v>0070015350</v>
      </c>
      <c r="E146" t="str">
        <f>CONCATENATE("0030170000447       ","")</f>
        <v>0030170000447       </v>
      </c>
      <c r="F146" t="str">
        <f>CONCATENATE("606852597","")</f>
        <v>606852597</v>
      </c>
      <c r="G146" t="s">
        <v>290</v>
      </c>
      <c r="H146" t="s">
        <v>300</v>
      </c>
      <c r="I146" t="s">
        <v>301</v>
      </c>
      <c r="J146" t="str">
        <f t="shared" si="13"/>
        <v>080301</v>
      </c>
      <c r="K146" t="s">
        <v>22</v>
      </c>
      <c r="L146" t="s">
        <v>23</v>
      </c>
      <c r="M146" t="str">
        <f>CONCATENATE("1","")</f>
        <v>1</v>
      </c>
      <c r="O146" t="str">
        <f t="shared" si="16"/>
        <v>1 </v>
      </c>
      <c r="P146">
        <v>60.1</v>
      </c>
      <c r="Q146" t="s">
        <v>24</v>
      </c>
    </row>
    <row r="147" spans="1:17" ht="15">
      <c r="A147" t="s">
        <v>17</v>
      </c>
      <c r="B147" s="1">
        <v>43152</v>
      </c>
      <c r="C147" t="s">
        <v>111</v>
      </c>
      <c r="D147" t="str">
        <f>CONCATENATE("0070019361","")</f>
        <v>0070019361</v>
      </c>
      <c r="E147" t="str">
        <f>CONCATENATE("0030170000449       ","")</f>
        <v>0030170000449       </v>
      </c>
      <c r="F147" t="str">
        <f>CONCATENATE("507008391","")</f>
        <v>507008391</v>
      </c>
      <c r="G147" t="s">
        <v>290</v>
      </c>
      <c r="H147" t="s">
        <v>302</v>
      </c>
      <c r="I147" t="s">
        <v>303</v>
      </c>
      <c r="J147" t="str">
        <f aca="true" t="shared" si="17" ref="J147:J180">CONCATENATE("080301","")</f>
        <v>080301</v>
      </c>
      <c r="K147" t="s">
        <v>22</v>
      </c>
      <c r="L147" t="s">
        <v>23</v>
      </c>
      <c r="M147" t="str">
        <f>CONCATENATE("3","")</f>
        <v>3</v>
      </c>
      <c r="O147" t="str">
        <f t="shared" si="16"/>
        <v>1 </v>
      </c>
      <c r="P147">
        <v>39.75</v>
      </c>
      <c r="Q147" t="s">
        <v>51</v>
      </c>
    </row>
    <row r="148" spans="1:17" ht="15">
      <c r="A148" t="s">
        <v>17</v>
      </c>
      <c r="B148" s="1">
        <v>43152</v>
      </c>
      <c r="C148" t="s">
        <v>111</v>
      </c>
      <c r="D148" t="str">
        <f>CONCATENATE("0070011656","")</f>
        <v>0070011656</v>
      </c>
      <c r="E148" t="str">
        <f>CONCATENATE("0030170000451       ","")</f>
        <v>0030170000451       </v>
      </c>
      <c r="F148" t="str">
        <f>CONCATENATE("606851672","")</f>
        <v>606851672</v>
      </c>
      <c r="G148" t="s">
        <v>290</v>
      </c>
      <c r="H148" t="s">
        <v>304</v>
      </c>
      <c r="I148" t="s">
        <v>305</v>
      </c>
      <c r="J148" t="str">
        <f t="shared" si="17"/>
        <v>080301</v>
      </c>
      <c r="K148" t="s">
        <v>22</v>
      </c>
      <c r="L148" t="s">
        <v>23</v>
      </c>
      <c r="M148" t="str">
        <f aca="true" t="shared" si="18" ref="M148:M156">CONCATENATE("1","")</f>
        <v>1</v>
      </c>
      <c r="O148" t="str">
        <f t="shared" si="16"/>
        <v>1 </v>
      </c>
      <c r="P148">
        <v>29.75</v>
      </c>
      <c r="Q148" t="s">
        <v>24</v>
      </c>
    </row>
    <row r="149" spans="1:17" ht="15">
      <c r="A149" t="s">
        <v>17</v>
      </c>
      <c r="B149" s="1">
        <v>43152</v>
      </c>
      <c r="C149" t="s">
        <v>111</v>
      </c>
      <c r="D149" t="str">
        <f>CONCATENATE("0070001552","")</f>
        <v>0070001552</v>
      </c>
      <c r="E149" t="str">
        <f>CONCATENATE("0030170000460       ","")</f>
        <v>0030170000460       </v>
      </c>
      <c r="F149" t="str">
        <f>CONCATENATE("2129142","")</f>
        <v>2129142</v>
      </c>
      <c r="G149" t="s">
        <v>290</v>
      </c>
      <c r="H149" t="s">
        <v>306</v>
      </c>
      <c r="I149" t="s">
        <v>297</v>
      </c>
      <c r="J149" t="str">
        <f t="shared" si="17"/>
        <v>080301</v>
      </c>
      <c r="K149" t="s">
        <v>22</v>
      </c>
      <c r="L149" t="s">
        <v>23</v>
      </c>
      <c r="M149" t="str">
        <f t="shared" si="18"/>
        <v>1</v>
      </c>
      <c r="O149" t="str">
        <f t="shared" si="16"/>
        <v>1 </v>
      </c>
      <c r="P149">
        <v>23.1</v>
      </c>
      <c r="Q149" t="s">
        <v>24</v>
      </c>
    </row>
    <row r="150" spans="1:17" ht="15">
      <c r="A150" t="s">
        <v>17</v>
      </c>
      <c r="B150" s="1">
        <v>43152</v>
      </c>
      <c r="C150" t="s">
        <v>111</v>
      </c>
      <c r="D150" t="str">
        <f>CONCATENATE("0070017074","")</f>
        <v>0070017074</v>
      </c>
      <c r="E150" t="str">
        <f>CONCATENATE("0030174000150       ","")</f>
        <v>0030174000150       </v>
      </c>
      <c r="F150" t="str">
        <f>CONCATENATE("606907235","")</f>
        <v>606907235</v>
      </c>
      <c r="G150" t="s">
        <v>307</v>
      </c>
      <c r="H150" t="s">
        <v>308</v>
      </c>
      <c r="I150" t="s">
        <v>309</v>
      </c>
      <c r="J150" t="str">
        <f t="shared" si="17"/>
        <v>080301</v>
      </c>
      <c r="K150" t="s">
        <v>22</v>
      </c>
      <c r="L150" t="s">
        <v>23</v>
      </c>
      <c r="M150" t="str">
        <f t="shared" si="18"/>
        <v>1</v>
      </c>
      <c r="O150" t="str">
        <f t="shared" si="16"/>
        <v>1 </v>
      </c>
      <c r="P150">
        <v>23.15</v>
      </c>
      <c r="Q150" t="s">
        <v>24</v>
      </c>
    </row>
    <row r="151" spans="1:17" ht="15">
      <c r="A151" t="s">
        <v>17</v>
      </c>
      <c r="B151" s="1">
        <v>43152</v>
      </c>
      <c r="C151" t="s">
        <v>111</v>
      </c>
      <c r="D151" t="str">
        <f>CONCATENATE("0070001561","")</f>
        <v>0070001561</v>
      </c>
      <c r="E151" t="str">
        <f>CONCATENATE("0030175000055       ","")</f>
        <v>0030175000055       </v>
      </c>
      <c r="F151" t="str">
        <f>CONCATENATE("605156485","")</f>
        <v>605156485</v>
      </c>
      <c r="G151" t="s">
        <v>310</v>
      </c>
      <c r="H151" t="s">
        <v>311</v>
      </c>
      <c r="I151" t="s">
        <v>312</v>
      </c>
      <c r="J151" t="str">
        <f t="shared" si="17"/>
        <v>080301</v>
      </c>
      <c r="K151" t="s">
        <v>22</v>
      </c>
      <c r="L151" t="s">
        <v>23</v>
      </c>
      <c r="M151" t="str">
        <f t="shared" si="18"/>
        <v>1</v>
      </c>
      <c r="O151" t="str">
        <f t="shared" si="16"/>
        <v>1 </v>
      </c>
      <c r="P151">
        <v>23.1</v>
      </c>
      <c r="Q151" t="s">
        <v>24</v>
      </c>
    </row>
    <row r="152" spans="1:17" ht="15">
      <c r="A152" t="s">
        <v>17</v>
      </c>
      <c r="B152" s="1">
        <v>43152</v>
      </c>
      <c r="C152" t="s">
        <v>111</v>
      </c>
      <c r="D152" t="str">
        <f>CONCATENATE("0070001690","")</f>
        <v>0070001690</v>
      </c>
      <c r="E152" t="str">
        <f>CONCATENATE("0030176000030       ","")</f>
        <v>0030176000030       </v>
      </c>
      <c r="F152" t="str">
        <f>CONCATENATE("2128221","")</f>
        <v>2128221</v>
      </c>
      <c r="G152" t="s">
        <v>313</v>
      </c>
      <c r="H152" t="s">
        <v>314</v>
      </c>
      <c r="I152" t="s">
        <v>315</v>
      </c>
      <c r="J152" t="str">
        <f t="shared" si="17"/>
        <v>080301</v>
      </c>
      <c r="K152" t="s">
        <v>22</v>
      </c>
      <c r="L152" t="s">
        <v>23</v>
      </c>
      <c r="M152" t="str">
        <f t="shared" si="18"/>
        <v>1</v>
      </c>
      <c r="O152" t="str">
        <f t="shared" si="16"/>
        <v>1 </v>
      </c>
      <c r="P152">
        <v>41.35</v>
      </c>
      <c r="Q152" t="s">
        <v>24</v>
      </c>
    </row>
    <row r="153" spans="1:17" ht="15">
      <c r="A153" t="s">
        <v>17</v>
      </c>
      <c r="B153" s="1">
        <v>43152</v>
      </c>
      <c r="C153" t="s">
        <v>111</v>
      </c>
      <c r="D153" t="str">
        <f>CONCATENATE("0070001718","")</f>
        <v>0070001718</v>
      </c>
      <c r="E153" t="str">
        <f>CONCATENATE("0030176000260       ","")</f>
        <v>0030176000260       </v>
      </c>
      <c r="F153" t="str">
        <f>CONCATENATE("607539117","")</f>
        <v>607539117</v>
      </c>
      <c r="G153" t="s">
        <v>313</v>
      </c>
      <c r="H153" t="s">
        <v>316</v>
      </c>
      <c r="I153" t="s">
        <v>315</v>
      </c>
      <c r="J153" t="str">
        <f t="shared" si="17"/>
        <v>080301</v>
      </c>
      <c r="K153" t="s">
        <v>22</v>
      </c>
      <c r="L153" t="s">
        <v>23</v>
      </c>
      <c r="M153" t="str">
        <f t="shared" si="18"/>
        <v>1</v>
      </c>
      <c r="O153" t="str">
        <f t="shared" si="16"/>
        <v>1 </v>
      </c>
      <c r="P153">
        <v>12.45</v>
      </c>
      <c r="Q153" t="s">
        <v>24</v>
      </c>
    </row>
    <row r="154" spans="1:17" ht="15">
      <c r="A154" t="s">
        <v>17</v>
      </c>
      <c r="B154" s="1">
        <v>43152</v>
      </c>
      <c r="C154" t="s">
        <v>111</v>
      </c>
      <c r="D154" t="str">
        <f>CONCATENATE("0070001737","")</f>
        <v>0070001737</v>
      </c>
      <c r="E154" t="str">
        <f>CONCATENATE("0030176000440       ","")</f>
        <v>0030176000440       </v>
      </c>
      <c r="F154" t="str">
        <f>CONCATENATE("606896098","")</f>
        <v>606896098</v>
      </c>
      <c r="G154" t="s">
        <v>313</v>
      </c>
      <c r="H154" t="s">
        <v>317</v>
      </c>
      <c r="I154" t="s">
        <v>315</v>
      </c>
      <c r="J154" t="str">
        <f t="shared" si="17"/>
        <v>080301</v>
      </c>
      <c r="K154" t="s">
        <v>22</v>
      </c>
      <c r="L154" t="s">
        <v>23</v>
      </c>
      <c r="M154" t="str">
        <f t="shared" si="18"/>
        <v>1</v>
      </c>
      <c r="O154" t="str">
        <f t="shared" si="16"/>
        <v>1 </v>
      </c>
      <c r="P154">
        <v>14.35</v>
      </c>
      <c r="Q154" t="s">
        <v>24</v>
      </c>
    </row>
    <row r="155" spans="1:17" ht="15">
      <c r="A155" t="s">
        <v>17</v>
      </c>
      <c r="B155" s="1">
        <v>43152</v>
      </c>
      <c r="C155" t="s">
        <v>111</v>
      </c>
      <c r="D155" t="str">
        <f>CONCATENATE("0070001757","")</f>
        <v>0070001757</v>
      </c>
      <c r="E155" t="str">
        <f>CONCATENATE("0030176000600       ","")</f>
        <v>0030176000600       </v>
      </c>
      <c r="F155" t="str">
        <f>CONCATENATE("2128466","")</f>
        <v>2128466</v>
      </c>
      <c r="G155" t="s">
        <v>313</v>
      </c>
      <c r="H155" t="s">
        <v>318</v>
      </c>
      <c r="I155" t="s">
        <v>315</v>
      </c>
      <c r="J155" t="str">
        <f t="shared" si="17"/>
        <v>080301</v>
      </c>
      <c r="K155" t="s">
        <v>22</v>
      </c>
      <c r="L155" t="s">
        <v>23</v>
      </c>
      <c r="M155" t="str">
        <f t="shared" si="18"/>
        <v>1</v>
      </c>
      <c r="O155" t="str">
        <f>CONCATENATE("2 ","")</f>
        <v>2 </v>
      </c>
      <c r="P155">
        <v>49.35</v>
      </c>
      <c r="Q155" t="s">
        <v>24</v>
      </c>
    </row>
    <row r="156" spans="1:17" ht="15">
      <c r="A156" t="s">
        <v>17</v>
      </c>
      <c r="B156" s="1">
        <v>43152</v>
      </c>
      <c r="C156" t="s">
        <v>111</v>
      </c>
      <c r="D156" t="str">
        <f>CONCATENATE("0070001766","")</f>
        <v>0070001766</v>
      </c>
      <c r="E156" t="str">
        <f>CONCATENATE("0030176000665       ","")</f>
        <v>0030176000665       </v>
      </c>
      <c r="F156" t="str">
        <f>CONCATENATE("606896107","")</f>
        <v>606896107</v>
      </c>
      <c r="G156" t="s">
        <v>313</v>
      </c>
      <c r="H156" t="s">
        <v>319</v>
      </c>
      <c r="I156" t="s">
        <v>320</v>
      </c>
      <c r="J156" t="str">
        <f t="shared" si="17"/>
        <v>080301</v>
      </c>
      <c r="K156" t="s">
        <v>22</v>
      </c>
      <c r="L156" t="s">
        <v>23</v>
      </c>
      <c r="M156" t="str">
        <f t="shared" si="18"/>
        <v>1</v>
      </c>
      <c r="O156" t="str">
        <f>CONCATENATE("2 ","")</f>
        <v>2 </v>
      </c>
      <c r="P156">
        <v>37.95</v>
      </c>
      <c r="Q156" t="s">
        <v>24</v>
      </c>
    </row>
    <row r="157" spans="1:17" ht="15">
      <c r="A157" t="s">
        <v>17</v>
      </c>
      <c r="B157" s="1">
        <v>43152</v>
      </c>
      <c r="C157" t="s">
        <v>111</v>
      </c>
      <c r="D157" t="str">
        <f>CONCATENATE("0070014354","")</f>
        <v>0070014354</v>
      </c>
      <c r="E157" t="str">
        <f>CONCATENATE("0030176000695       ","")</f>
        <v>0030176000695       </v>
      </c>
      <c r="F157" t="str">
        <f>CONCATENATE("13021175","")</f>
        <v>13021175</v>
      </c>
      <c r="G157" t="s">
        <v>313</v>
      </c>
      <c r="H157" t="s">
        <v>321</v>
      </c>
      <c r="I157" t="s">
        <v>322</v>
      </c>
      <c r="J157" t="str">
        <f t="shared" si="17"/>
        <v>080301</v>
      </c>
      <c r="K157" t="s">
        <v>22</v>
      </c>
      <c r="L157" t="s">
        <v>23</v>
      </c>
      <c r="M157" t="str">
        <f>CONCATENATE("3","")</f>
        <v>3</v>
      </c>
      <c r="O157" t="str">
        <f>CONCATENATE("1 ","")</f>
        <v>1 </v>
      </c>
      <c r="P157">
        <v>149.4</v>
      </c>
      <c r="Q157" t="s">
        <v>51</v>
      </c>
    </row>
    <row r="158" spans="1:17" ht="15">
      <c r="A158" t="s">
        <v>17</v>
      </c>
      <c r="B158" s="1">
        <v>43152</v>
      </c>
      <c r="C158" t="s">
        <v>111</v>
      </c>
      <c r="D158" t="str">
        <f>CONCATENATE("0070001812","")</f>
        <v>0070001812</v>
      </c>
      <c r="E158" t="str">
        <f>CONCATENATE("0030177000020       ","")</f>
        <v>0030177000020       </v>
      </c>
      <c r="F158" t="str">
        <f>CONCATENATE("2124589","")</f>
        <v>2124589</v>
      </c>
      <c r="G158" t="s">
        <v>323</v>
      </c>
      <c r="H158" t="s">
        <v>324</v>
      </c>
      <c r="I158" t="s">
        <v>325</v>
      </c>
      <c r="J158" t="str">
        <f t="shared" si="17"/>
        <v>080301</v>
      </c>
      <c r="K158" t="s">
        <v>22</v>
      </c>
      <c r="L158" t="s">
        <v>23</v>
      </c>
      <c r="M158" t="str">
        <f>CONCATENATE("1","")</f>
        <v>1</v>
      </c>
      <c r="O158" t="str">
        <f>CONCATENATE("1 ","")</f>
        <v>1 </v>
      </c>
      <c r="P158">
        <v>14.8</v>
      </c>
      <c r="Q158" t="s">
        <v>24</v>
      </c>
    </row>
    <row r="159" spans="1:17" ht="15">
      <c r="A159" t="s">
        <v>17</v>
      </c>
      <c r="B159" s="1">
        <v>43152</v>
      </c>
      <c r="C159" t="s">
        <v>111</v>
      </c>
      <c r="D159" t="str">
        <f>CONCATENATE("0070001822","")</f>
        <v>0070001822</v>
      </c>
      <c r="E159" t="str">
        <f>CONCATENATE("0030177000115       ","")</f>
        <v>0030177000115       </v>
      </c>
      <c r="F159" t="str">
        <f>CONCATENATE("111181","")</f>
        <v>111181</v>
      </c>
      <c r="G159" t="s">
        <v>323</v>
      </c>
      <c r="H159" t="s">
        <v>326</v>
      </c>
      <c r="I159" t="s">
        <v>327</v>
      </c>
      <c r="J159" t="str">
        <f t="shared" si="17"/>
        <v>080301</v>
      </c>
      <c r="K159" t="s">
        <v>22</v>
      </c>
      <c r="L159" t="s">
        <v>23</v>
      </c>
      <c r="M159" t="str">
        <f>CONCATENATE("3","")</f>
        <v>3</v>
      </c>
      <c r="O159" t="str">
        <f>CONCATENATE("1 ","")</f>
        <v>1 </v>
      </c>
      <c r="P159">
        <v>26.1</v>
      </c>
      <c r="Q159" t="s">
        <v>51</v>
      </c>
    </row>
    <row r="160" spans="1:17" ht="15">
      <c r="A160" t="s">
        <v>17</v>
      </c>
      <c r="B160" s="1">
        <v>43152</v>
      </c>
      <c r="C160" t="s">
        <v>111</v>
      </c>
      <c r="D160" t="str">
        <f>CONCATENATE("0070001854","")</f>
        <v>0070001854</v>
      </c>
      <c r="E160" t="str">
        <f>CONCATENATE("0030177000430       ","")</f>
        <v>0030177000430       </v>
      </c>
      <c r="F160" t="str">
        <f>CONCATENATE("605393691","")</f>
        <v>605393691</v>
      </c>
      <c r="G160" t="s">
        <v>328</v>
      </c>
      <c r="H160" t="s">
        <v>329</v>
      </c>
      <c r="I160" t="s">
        <v>325</v>
      </c>
      <c r="J160" t="str">
        <f t="shared" si="17"/>
        <v>080301</v>
      </c>
      <c r="K160" t="s">
        <v>22</v>
      </c>
      <c r="L160" t="s">
        <v>23</v>
      </c>
      <c r="M160" t="str">
        <f aca="true" t="shared" si="19" ref="M160:M189">CONCATENATE("1","")</f>
        <v>1</v>
      </c>
      <c r="O160" t="str">
        <f>CONCATENATE("1 ","")</f>
        <v>1 </v>
      </c>
      <c r="P160">
        <v>66.9</v>
      </c>
      <c r="Q160" t="s">
        <v>24</v>
      </c>
    </row>
    <row r="161" spans="1:17" ht="15">
      <c r="A161" t="s">
        <v>17</v>
      </c>
      <c r="B161" s="1">
        <v>43152</v>
      </c>
      <c r="C161" t="s">
        <v>111</v>
      </c>
      <c r="D161" t="str">
        <f>CONCATENATE("0070001898","")</f>
        <v>0070001898</v>
      </c>
      <c r="E161" t="str">
        <f>CONCATENATE("0030177000810       ","")</f>
        <v>0030177000810       </v>
      </c>
      <c r="F161" t="str">
        <f>CONCATENATE("2125100","")</f>
        <v>2125100</v>
      </c>
      <c r="G161" t="s">
        <v>328</v>
      </c>
      <c r="H161" t="s">
        <v>330</v>
      </c>
      <c r="I161" t="s">
        <v>325</v>
      </c>
      <c r="J161" t="str">
        <f t="shared" si="17"/>
        <v>080301</v>
      </c>
      <c r="K161" t="s">
        <v>22</v>
      </c>
      <c r="L161" t="s">
        <v>23</v>
      </c>
      <c r="M161" t="str">
        <f t="shared" si="19"/>
        <v>1</v>
      </c>
      <c r="O161" t="str">
        <f>CONCATENATE("1 ","")</f>
        <v>1 </v>
      </c>
      <c r="P161">
        <v>19.1</v>
      </c>
      <c r="Q161" t="s">
        <v>24</v>
      </c>
    </row>
    <row r="162" spans="1:17" ht="15">
      <c r="A162" t="s">
        <v>17</v>
      </c>
      <c r="B162" s="1">
        <v>43152</v>
      </c>
      <c r="C162" t="s">
        <v>111</v>
      </c>
      <c r="D162" t="str">
        <f>CONCATENATE("0070014873","")</f>
        <v>0070014873</v>
      </c>
      <c r="E162" t="str">
        <f>CONCATENATE("0030177000875       ","")</f>
        <v>0030177000875       </v>
      </c>
      <c r="F162" t="str">
        <f>CONCATENATE("606805668","")</f>
        <v>606805668</v>
      </c>
      <c r="G162" t="s">
        <v>323</v>
      </c>
      <c r="H162" t="s">
        <v>331</v>
      </c>
      <c r="I162" t="s">
        <v>332</v>
      </c>
      <c r="J162" t="str">
        <f t="shared" si="17"/>
        <v>080301</v>
      </c>
      <c r="K162" t="s">
        <v>22</v>
      </c>
      <c r="L162" t="s">
        <v>23</v>
      </c>
      <c r="M162" t="str">
        <f t="shared" si="19"/>
        <v>1</v>
      </c>
      <c r="O162" t="str">
        <f>CONCATENATE("2 ","")</f>
        <v>2 </v>
      </c>
      <c r="P162">
        <v>89.55</v>
      </c>
      <c r="Q162" t="s">
        <v>24</v>
      </c>
    </row>
    <row r="163" spans="1:17" ht="15">
      <c r="A163" t="s">
        <v>17</v>
      </c>
      <c r="B163" s="1">
        <v>43152</v>
      </c>
      <c r="C163" t="s">
        <v>111</v>
      </c>
      <c r="D163" t="str">
        <f>CONCATENATE("0070001922","")</f>
        <v>0070001922</v>
      </c>
      <c r="E163" t="str">
        <f>CONCATENATE("0030177000990       ","")</f>
        <v>0030177000990       </v>
      </c>
      <c r="F163" t="str">
        <f>CONCATENATE("605393712","")</f>
        <v>605393712</v>
      </c>
      <c r="G163" t="s">
        <v>323</v>
      </c>
      <c r="H163" t="s">
        <v>333</v>
      </c>
      <c r="I163" t="s">
        <v>325</v>
      </c>
      <c r="J163" t="str">
        <f t="shared" si="17"/>
        <v>080301</v>
      </c>
      <c r="K163" t="s">
        <v>22</v>
      </c>
      <c r="L163" t="s">
        <v>23</v>
      </c>
      <c r="M163" t="str">
        <f t="shared" si="19"/>
        <v>1</v>
      </c>
      <c r="O163" t="str">
        <f>CONCATENATE("4 ","")</f>
        <v>4 </v>
      </c>
      <c r="P163">
        <v>50.05</v>
      </c>
      <c r="Q163" t="s">
        <v>24</v>
      </c>
    </row>
    <row r="164" spans="1:17" ht="15">
      <c r="A164" t="s">
        <v>17</v>
      </c>
      <c r="B164" s="1">
        <v>43152</v>
      </c>
      <c r="C164" t="s">
        <v>111</v>
      </c>
      <c r="D164" t="str">
        <f>CONCATENATE("0070002037","")</f>
        <v>0070002037</v>
      </c>
      <c r="E164" t="str">
        <f>CONCATENATE("0030178000610       ","")</f>
        <v>0030178000610       </v>
      </c>
      <c r="F164" t="str">
        <f>CONCATENATE("606851768","")</f>
        <v>606851768</v>
      </c>
      <c r="G164" t="s">
        <v>328</v>
      </c>
      <c r="H164" t="s">
        <v>334</v>
      </c>
      <c r="I164" t="s">
        <v>335</v>
      </c>
      <c r="J164" t="str">
        <f t="shared" si="17"/>
        <v>080301</v>
      </c>
      <c r="K164" t="s">
        <v>22</v>
      </c>
      <c r="L164" t="s">
        <v>23</v>
      </c>
      <c r="M164" t="str">
        <f t="shared" si="19"/>
        <v>1</v>
      </c>
      <c r="O164" t="str">
        <f>CONCATENATE("2 ","")</f>
        <v>2 </v>
      </c>
      <c r="P164">
        <v>139.95</v>
      </c>
      <c r="Q164" t="s">
        <v>24</v>
      </c>
    </row>
    <row r="165" spans="1:17" ht="15">
      <c r="A165" t="s">
        <v>17</v>
      </c>
      <c r="B165" s="1">
        <v>43152</v>
      </c>
      <c r="C165" t="s">
        <v>111</v>
      </c>
      <c r="D165" t="str">
        <f>CONCATENATE("0070001870","")</f>
        <v>0070001870</v>
      </c>
      <c r="E165" t="str">
        <f>CONCATENATE("0030179000100       ","")</f>
        <v>0030179000100       </v>
      </c>
      <c r="F165" t="str">
        <f>CONCATENATE("605745238","")</f>
        <v>605745238</v>
      </c>
      <c r="G165" t="s">
        <v>336</v>
      </c>
      <c r="H165" t="s">
        <v>337</v>
      </c>
      <c r="I165" t="s">
        <v>325</v>
      </c>
      <c r="J165" t="str">
        <f t="shared" si="17"/>
        <v>080301</v>
      </c>
      <c r="K165" t="s">
        <v>22</v>
      </c>
      <c r="L165" t="s">
        <v>23</v>
      </c>
      <c r="M165" t="str">
        <f t="shared" si="19"/>
        <v>1</v>
      </c>
      <c r="O165" t="str">
        <f>CONCATENATE("1 ","")</f>
        <v>1 </v>
      </c>
      <c r="P165">
        <v>10.6</v>
      </c>
      <c r="Q165" t="s">
        <v>24</v>
      </c>
    </row>
    <row r="166" spans="1:17" ht="15">
      <c r="A166" t="s">
        <v>17</v>
      </c>
      <c r="B166" s="1">
        <v>43152</v>
      </c>
      <c r="C166" t="s">
        <v>111</v>
      </c>
      <c r="D166" t="str">
        <f>CONCATENATE("0070002049","")</f>
        <v>0070002049</v>
      </c>
      <c r="E166" t="str">
        <f>CONCATENATE("0030180000070       ","")</f>
        <v>0030180000070       </v>
      </c>
      <c r="F166" t="str">
        <f>CONCATENATE("606850911","")</f>
        <v>606850911</v>
      </c>
      <c r="G166" t="s">
        <v>338</v>
      </c>
      <c r="H166" t="s">
        <v>339</v>
      </c>
      <c r="I166" t="s">
        <v>340</v>
      </c>
      <c r="J166" t="str">
        <f t="shared" si="17"/>
        <v>080301</v>
      </c>
      <c r="K166" t="s">
        <v>22</v>
      </c>
      <c r="L166" t="s">
        <v>23</v>
      </c>
      <c r="M166" t="str">
        <f t="shared" si="19"/>
        <v>1</v>
      </c>
      <c r="O166" t="str">
        <f>CONCATENATE("3 ","")</f>
        <v>3 </v>
      </c>
      <c r="P166">
        <v>24.6</v>
      </c>
      <c r="Q166" t="s">
        <v>24</v>
      </c>
    </row>
    <row r="167" spans="1:17" ht="15">
      <c r="A167" t="s">
        <v>17</v>
      </c>
      <c r="B167" s="1">
        <v>43152</v>
      </c>
      <c r="C167" t="s">
        <v>111</v>
      </c>
      <c r="D167" t="str">
        <f>CONCATENATE("0070002057","")</f>
        <v>0070002057</v>
      </c>
      <c r="E167" t="str">
        <f>CONCATENATE("0030180000150       ","")</f>
        <v>0030180000150       </v>
      </c>
      <c r="F167" t="str">
        <f>CONCATENATE("606850940","")</f>
        <v>606850940</v>
      </c>
      <c r="G167" t="s">
        <v>338</v>
      </c>
      <c r="H167" t="s">
        <v>341</v>
      </c>
      <c r="I167" t="s">
        <v>340</v>
      </c>
      <c r="J167" t="str">
        <f t="shared" si="17"/>
        <v>080301</v>
      </c>
      <c r="K167" t="s">
        <v>22</v>
      </c>
      <c r="L167" t="s">
        <v>23</v>
      </c>
      <c r="M167" t="str">
        <f t="shared" si="19"/>
        <v>1</v>
      </c>
      <c r="O167" t="str">
        <f>CONCATENATE("3 ","")</f>
        <v>3 </v>
      </c>
      <c r="P167">
        <v>35.85</v>
      </c>
      <c r="Q167" t="s">
        <v>24</v>
      </c>
    </row>
    <row r="168" spans="1:17" ht="15">
      <c r="A168" t="s">
        <v>17</v>
      </c>
      <c r="B168" s="1">
        <v>43152</v>
      </c>
      <c r="C168" t="s">
        <v>111</v>
      </c>
      <c r="D168" t="str">
        <f>CONCATENATE("0070002065","")</f>
        <v>0070002065</v>
      </c>
      <c r="E168" t="str">
        <f>CONCATENATE("0030180000208       ","")</f>
        <v>0030180000208       </v>
      </c>
      <c r="F168" t="str">
        <f>CONCATENATE("607662707","")</f>
        <v>607662707</v>
      </c>
      <c r="G168" t="s">
        <v>338</v>
      </c>
      <c r="H168" t="s">
        <v>342</v>
      </c>
      <c r="I168" t="s">
        <v>343</v>
      </c>
      <c r="J168" t="str">
        <f t="shared" si="17"/>
        <v>080301</v>
      </c>
      <c r="K168" t="s">
        <v>22</v>
      </c>
      <c r="L168" t="s">
        <v>23</v>
      </c>
      <c r="M168" t="str">
        <f t="shared" si="19"/>
        <v>1</v>
      </c>
      <c r="O168" t="str">
        <f>CONCATENATE("2 ","")</f>
        <v>2 </v>
      </c>
      <c r="P168">
        <v>262.8</v>
      </c>
      <c r="Q168" t="s">
        <v>24</v>
      </c>
    </row>
    <row r="169" spans="1:17" ht="15">
      <c r="A169" t="s">
        <v>17</v>
      </c>
      <c r="B169" s="1">
        <v>43152</v>
      </c>
      <c r="C169" t="s">
        <v>111</v>
      </c>
      <c r="D169" t="str">
        <f>CONCATENATE("0070023962","")</f>
        <v>0070023962</v>
      </c>
      <c r="E169" t="str">
        <f>CONCATENATE("0030180000280       ","")</f>
        <v>0030180000280       </v>
      </c>
      <c r="F169" t="str">
        <f>CONCATENATE("606676383","")</f>
        <v>606676383</v>
      </c>
      <c r="G169" t="s">
        <v>338</v>
      </c>
      <c r="H169" t="s">
        <v>344</v>
      </c>
      <c r="I169" t="s">
        <v>345</v>
      </c>
      <c r="J169" t="str">
        <f t="shared" si="17"/>
        <v>080301</v>
      </c>
      <c r="K169" t="s">
        <v>22</v>
      </c>
      <c r="L169" t="s">
        <v>23</v>
      </c>
      <c r="M169" t="str">
        <f t="shared" si="19"/>
        <v>1</v>
      </c>
      <c r="O169" t="str">
        <f>CONCATENATE("1 ","")</f>
        <v>1 </v>
      </c>
      <c r="P169">
        <v>11.35</v>
      </c>
      <c r="Q169" t="s">
        <v>24</v>
      </c>
    </row>
    <row r="170" spans="1:17" ht="15">
      <c r="A170" t="s">
        <v>17</v>
      </c>
      <c r="B170" s="1">
        <v>43152</v>
      </c>
      <c r="C170" t="s">
        <v>111</v>
      </c>
      <c r="D170" t="str">
        <f>CONCATENATE("0070002073","")</f>
        <v>0070002073</v>
      </c>
      <c r="E170" t="str">
        <f>CONCATENATE("0030180000290       ","")</f>
        <v>0030180000290       </v>
      </c>
      <c r="F170" t="str">
        <f>CONCATENATE("2127288","")</f>
        <v>2127288</v>
      </c>
      <c r="G170" t="s">
        <v>338</v>
      </c>
      <c r="H170" t="s">
        <v>346</v>
      </c>
      <c r="I170" t="s">
        <v>347</v>
      </c>
      <c r="J170" t="str">
        <f t="shared" si="17"/>
        <v>080301</v>
      </c>
      <c r="K170" t="s">
        <v>22</v>
      </c>
      <c r="L170" t="s">
        <v>23</v>
      </c>
      <c r="M170" t="str">
        <f t="shared" si="19"/>
        <v>1</v>
      </c>
      <c r="O170" t="str">
        <f>CONCATENATE("2 ","")</f>
        <v>2 </v>
      </c>
      <c r="P170">
        <v>35.8</v>
      </c>
      <c r="Q170" t="s">
        <v>24</v>
      </c>
    </row>
    <row r="171" spans="1:17" ht="15">
      <c r="A171" t="s">
        <v>17</v>
      </c>
      <c r="B171" s="1">
        <v>43152</v>
      </c>
      <c r="C171" t="s">
        <v>111</v>
      </c>
      <c r="D171" t="str">
        <f>CONCATENATE("0070012675","")</f>
        <v>0070012675</v>
      </c>
      <c r="E171" t="str">
        <f>CONCATENATE("0030180000320       ","")</f>
        <v>0030180000320       </v>
      </c>
      <c r="F171" t="str">
        <f>CONCATENATE("605754421","")</f>
        <v>605754421</v>
      </c>
      <c r="G171" t="s">
        <v>338</v>
      </c>
      <c r="H171" t="s">
        <v>348</v>
      </c>
      <c r="I171" t="s">
        <v>349</v>
      </c>
      <c r="J171" t="str">
        <f t="shared" si="17"/>
        <v>080301</v>
      </c>
      <c r="K171" t="s">
        <v>22</v>
      </c>
      <c r="L171" t="s">
        <v>23</v>
      </c>
      <c r="M171" t="str">
        <f t="shared" si="19"/>
        <v>1</v>
      </c>
      <c r="O171" t="str">
        <f>CONCATENATE("2 ","")</f>
        <v>2 </v>
      </c>
      <c r="P171">
        <v>30.1</v>
      </c>
      <c r="Q171" t="s">
        <v>24</v>
      </c>
    </row>
    <row r="172" spans="1:17" ht="15">
      <c r="A172" t="s">
        <v>17</v>
      </c>
      <c r="B172" s="1">
        <v>43152</v>
      </c>
      <c r="C172" t="s">
        <v>111</v>
      </c>
      <c r="D172" t="str">
        <f>CONCATENATE("0070002085","")</f>
        <v>0070002085</v>
      </c>
      <c r="E172" t="str">
        <f>CONCATENATE("0030180000410       ","")</f>
        <v>0030180000410       </v>
      </c>
      <c r="F172" t="str">
        <f>CONCATENATE("605350955","")</f>
        <v>605350955</v>
      </c>
      <c r="G172" t="s">
        <v>338</v>
      </c>
      <c r="H172" t="s">
        <v>350</v>
      </c>
      <c r="I172" t="s">
        <v>340</v>
      </c>
      <c r="J172" t="str">
        <f t="shared" si="17"/>
        <v>080301</v>
      </c>
      <c r="K172" t="s">
        <v>22</v>
      </c>
      <c r="L172" t="s">
        <v>23</v>
      </c>
      <c r="M172" t="str">
        <f t="shared" si="19"/>
        <v>1</v>
      </c>
      <c r="O172" t="str">
        <f>CONCATENATE("1 ","")</f>
        <v>1 </v>
      </c>
      <c r="P172">
        <v>19.45</v>
      </c>
      <c r="Q172" t="s">
        <v>24</v>
      </c>
    </row>
    <row r="173" spans="1:17" ht="15">
      <c r="A173" t="s">
        <v>17</v>
      </c>
      <c r="B173" s="1">
        <v>43152</v>
      </c>
      <c r="C173" t="s">
        <v>111</v>
      </c>
      <c r="D173" t="str">
        <f>CONCATENATE("0070002086","")</f>
        <v>0070002086</v>
      </c>
      <c r="E173" t="str">
        <f>CONCATENATE("0030180000420       ","")</f>
        <v>0030180000420       </v>
      </c>
      <c r="F173" t="str">
        <f>CONCATENATE("606850918","")</f>
        <v>606850918</v>
      </c>
      <c r="G173" t="s">
        <v>338</v>
      </c>
      <c r="H173" t="s">
        <v>351</v>
      </c>
      <c r="I173" t="s">
        <v>340</v>
      </c>
      <c r="J173" t="str">
        <f t="shared" si="17"/>
        <v>080301</v>
      </c>
      <c r="K173" t="s">
        <v>22</v>
      </c>
      <c r="L173" t="s">
        <v>23</v>
      </c>
      <c r="M173" t="str">
        <f t="shared" si="19"/>
        <v>1</v>
      </c>
      <c r="O173" t="str">
        <f>CONCATENATE("3 ","")</f>
        <v>3 </v>
      </c>
      <c r="P173">
        <v>50.55</v>
      </c>
      <c r="Q173" t="s">
        <v>24</v>
      </c>
    </row>
    <row r="174" spans="1:17" ht="15">
      <c r="A174" t="s">
        <v>17</v>
      </c>
      <c r="B174" s="1">
        <v>43152</v>
      </c>
      <c r="C174" t="s">
        <v>111</v>
      </c>
      <c r="D174" t="str">
        <f>CONCATENATE("0070002096","")</f>
        <v>0070002096</v>
      </c>
      <c r="E174" t="str">
        <f>CONCATENATE("0030180000520       ","")</f>
        <v>0030180000520       </v>
      </c>
      <c r="F174" t="str">
        <f>CONCATENATE("606850931","")</f>
        <v>606850931</v>
      </c>
      <c r="G174" t="s">
        <v>338</v>
      </c>
      <c r="H174" t="s">
        <v>352</v>
      </c>
      <c r="I174" t="s">
        <v>340</v>
      </c>
      <c r="J174" t="str">
        <f t="shared" si="17"/>
        <v>080301</v>
      </c>
      <c r="K174" t="s">
        <v>22</v>
      </c>
      <c r="L174" t="s">
        <v>23</v>
      </c>
      <c r="M174" t="str">
        <f t="shared" si="19"/>
        <v>1</v>
      </c>
      <c r="O174" t="str">
        <f>CONCATENATE("2 ","")</f>
        <v>2 </v>
      </c>
      <c r="P174">
        <v>111.1</v>
      </c>
      <c r="Q174" t="s">
        <v>24</v>
      </c>
    </row>
    <row r="175" spans="1:17" ht="15">
      <c r="A175" t="s">
        <v>17</v>
      </c>
      <c r="B175" s="1">
        <v>43152</v>
      </c>
      <c r="C175" t="s">
        <v>111</v>
      </c>
      <c r="D175" t="str">
        <f>CONCATENATE("0070002120","")</f>
        <v>0070002120</v>
      </c>
      <c r="E175" t="str">
        <f>CONCATENATE("0030180000770       ","")</f>
        <v>0030180000770       </v>
      </c>
      <c r="F175" t="str">
        <f>CONCATENATE("606850240","")</f>
        <v>606850240</v>
      </c>
      <c r="G175" t="s">
        <v>353</v>
      </c>
      <c r="H175" t="s">
        <v>354</v>
      </c>
      <c r="I175" t="s">
        <v>340</v>
      </c>
      <c r="J175" t="str">
        <f t="shared" si="17"/>
        <v>080301</v>
      </c>
      <c r="K175" t="s">
        <v>22</v>
      </c>
      <c r="L175" t="s">
        <v>23</v>
      </c>
      <c r="M175" t="str">
        <f t="shared" si="19"/>
        <v>1</v>
      </c>
      <c r="O175" t="str">
        <f>CONCATENATE("1 ","")</f>
        <v>1 </v>
      </c>
      <c r="P175">
        <v>12.15</v>
      </c>
      <c r="Q175" t="s">
        <v>24</v>
      </c>
    </row>
    <row r="176" spans="1:17" ht="15">
      <c r="A176" t="s">
        <v>17</v>
      </c>
      <c r="B176" s="1">
        <v>43152</v>
      </c>
      <c r="C176" t="s">
        <v>111</v>
      </c>
      <c r="D176" t="str">
        <f>CONCATENATE("0070002121","")</f>
        <v>0070002121</v>
      </c>
      <c r="E176" t="str">
        <f>CONCATENATE("0030180000775       ","")</f>
        <v>0030180000775       </v>
      </c>
      <c r="F176" t="str">
        <f>CONCATENATE("605277215","")</f>
        <v>605277215</v>
      </c>
      <c r="G176" t="s">
        <v>353</v>
      </c>
      <c r="H176" t="s">
        <v>355</v>
      </c>
      <c r="I176" t="s">
        <v>356</v>
      </c>
      <c r="J176" t="str">
        <f t="shared" si="17"/>
        <v>080301</v>
      </c>
      <c r="K176" t="s">
        <v>22</v>
      </c>
      <c r="L176" t="s">
        <v>23</v>
      </c>
      <c r="M176" t="str">
        <f t="shared" si="19"/>
        <v>1</v>
      </c>
      <c r="O176" t="str">
        <f>CONCATENATE("6 ","")</f>
        <v>6 </v>
      </c>
      <c r="P176">
        <v>41.5</v>
      </c>
      <c r="Q176" t="s">
        <v>24</v>
      </c>
    </row>
    <row r="177" spans="1:17" ht="15">
      <c r="A177" t="s">
        <v>17</v>
      </c>
      <c r="B177" s="1">
        <v>43152</v>
      </c>
      <c r="C177" t="s">
        <v>111</v>
      </c>
      <c r="D177" t="str">
        <f>CONCATENATE("0070011112","")</f>
        <v>0070011112</v>
      </c>
      <c r="E177" t="str">
        <f>CONCATENATE("0030180000800       ","")</f>
        <v>0030180000800       </v>
      </c>
      <c r="F177" t="str">
        <f>CONCATENATE("605629071","")</f>
        <v>605629071</v>
      </c>
      <c r="G177" t="s">
        <v>338</v>
      </c>
      <c r="H177" t="s">
        <v>357</v>
      </c>
      <c r="I177" t="s">
        <v>356</v>
      </c>
      <c r="J177" t="str">
        <f t="shared" si="17"/>
        <v>080301</v>
      </c>
      <c r="K177" t="s">
        <v>22</v>
      </c>
      <c r="L177" t="s">
        <v>23</v>
      </c>
      <c r="M177" t="str">
        <f t="shared" si="19"/>
        <v>1</v>
      </c>
      <c r="O177" t="str">
        <f>CONCATENATE("2 ","")</f>
        <v>2 </v>
      </c>
      <c r="P177">
        <v>16.2</v>
      </c>
      <c r="Q177" t="s">
        <v>24</v>
      </c>
    </row>
    <row r="178" spans="1:17" ht="15">
      <c r="A178" t="s">
        <v>17</v>
      </c>
      <c r="B178" s="1">
        <v>43152</v>
      </c>
      <c r="C178" t="s">
        <v>111</v>
      </c>
      <c r="D178" t="str">
        <f>CONCATENATE("0070017096","")</f>
        <v>0070017096</v>
      </c>
      <c r="E178" t="str">
        <f>CONCATENATE("0030184000050       ","")</f>
        <v>0030184000050       </v>
      </c>
      <c r="F178" t="str">
        <f>CONCATENATE("607446443","")</f>
        <v>607446443</v>
      </c>
      <c r="G178" t="s">
        <v>358</v>
      </c>
      <c r="H178" t="s">
        <v>359</v>
      </c>
      <c r="I178" t="s">
        <v>360</v>
      </c>
      <c r="J178" t="str">
        <f t="shared" si="17"/>
        <v>080301</v>
      </c>
      <c r="K178" t="s">
        <v>22</v>
      </c>
      <c r="L178" t="s">
        <v>23</v>
      </c>
      <c r="M178" t="str">
        <f t="shared" si="19"/>
        <v>1</v>
      </c>
      <c r="O178" t="str">
        <f>CONCATENATE("2 ","")</f>
        <v>2 </v>
      </c>
      <c r="P178">
        <v>18.8</v>
      </c>
      <c r="Q178" t="s">
        <v>24</v>
      </c>
    </row>
    <row r="179" spans="1:17" ht="15">
      <c r="A179" t="s">
        <v>17</v>
      </c>
      <c r="B179" s="1">
        <v>43152</v>
      </c>
      <c r="C179" t="s">
        <v>111</v>
      </c>
      <c r="D179" t="str">
        <f>CONCATENATE("0070010985","")</f>
        <v>0070010985</v>
      </c>
      <c r="E179" t="str">
        <f>CONCATENATE("0030185000010       ","")</f>
        <v>0030185000010       </v>
      </c>
      <c r="F179" t="str">
        <f>CONCATENATE("605745226","")</f>
        <v>605745226</v>
      </c>
      <c r="G179" t="s">
        <v>361</v>
      </c>
      <c r="H179" t="s">
        <v>362</v>
      </c>
      <c r="I179" t="s">
        <v>363</v>
      </c>
      <c r="J179" t="str">
        <f t="shared" si="17"/>
        <v>080301</v>
      </c>
      <c r="K179" t="s">
        <v>22</v>
      </c>
      <c r="L179" t="s">
        <v>23</v>
      </c>
      <c r="M179" t="str">
        <f t="shared" si="19"/>
        <v>1</v>
      </c>
      <c r="O179" t="str">
        <f>CONCATENATE("4 ","")</f>
        <v>4 </v>
      </c>
      <c r="P179">
        <v>114.1</v>
      </c>
      <c r="Q179" t="s">
        <v>24</v>
      </c>
    </row>
    <row r="180" spans="1:17" ht="15">
      <c r="A180" t="s">
        <v>17</v>
      </c>
      <c r="B180" s="1">
        <v>43152</v>
      </c>
      <c r="C180" t="s">
        <v>111</v>
      </c>
      <c r="D180" t="str">
        <f>CONCATENATE("0070002143","")</f>
        <v>0070002143</v>
      </c>
      <c r="E180" t="str">
        <f>CONCATENATE("0030185000220       ","")</f>
        <v>0030185000220       </v>
      </c>
      <c r="F180" t="str">
        <f>CONCATENATE("605349255","")</f>
        <v>605349255</v>
      </c>
      <c r="G180" t="s">
        <v>361</v>
      </c>
      <c r="H180" t="s">
        <v>364</v>
      </c>
      <c r="I180" t="s">
        <v>365</v>
      </c>
      <c r="J180" t="str">
        <f t="shared" si="17"/>
        <v>080301</v>
      </c>
      <c r="K180" t="s">
        <v>22</v>
      </c>
      <c r="L180" t="s">
        <v>23</v>
      </c>
      <c r="M180" t="str">
        <f t="shared" si="19"/>
        <v>1</v>
      </c>
      <c r="O180" t="str">
        <f>CONCATENATE("1 ","")</f>
        <v>1 </v>
      </c>
      <c r="P180">
        <v>11.8</v>
      </c>
      <c r="Q180" t="s">
        <v>24</v>
      </c>
    </row>
    <row r="181" spans="1:17" ht="15">
      <c r="A181" t="s">
        <v>17</v>
      </c>
      <c r="B181" s="1">
        <v>43152</v>
      </c>
      <c r="C181" t="s">
        <v>100</v>
      </c>
      <c r="D181" t="str">
        <f>CONCATENATE("0070013331","")</f>
        <v>0070013331</v>
      </c>
      <c r="E181" t="str">
        <f>CONCATENATE("0030185000345       ","")</f>
        <v>0030185000345       </v>
      </c>
      <c r="F181" t="str">
        <f>CONCATENATE("02125475","")</f>
        <v>02125475</v>
      </c>
      <c r="G181" t="s">
        <v>366</v>
      </c>
      <c r="H181" t="s">
        <v>367</v>
      </c>
      <c r="I181" t="s">
        <v>368</v>
      </c>
      <c r="J181" t="str">
        <f>CONCATENATE("080308","")</f>
        <v>080308</v>
      </c>
      <c r="K181" t="s">
        <v>22</v>
      </c>
      <c r="L181" t="s">
        <v>23</v>
      </c>
      <c r="M181" t="str">
        <f t="shared" si="19"/>
        <v>1</v>
      </c>
      <c r="O181" t="str">
        <f>CONCATENATE("1 ","")</f>
        <v>1 </v>
      </c>
      <c r="P181">
        <v>49.75</v>
      </c>
      <c r="Q181" t="s">
        <v>24</v>
      </c>
    </row>
    <row r="182" spans="1:17" ht="15">
      <c r="A182" t="s">
        <v>17</v>
      </c>
      <c r="B182" s="1">
        <v>43152</v>
      </c>
      <c r="C182" t="s">
        <v>111</v>
      </c>
      <c r="D182" t="str">
        <f>CONCATENATE("0070009825","")</f>
        <v>0070009825</v>
      </c>
      <c r="E182" t="str">
        <f>CONCATENATE("0030185000400       ","")</f>
        <v>0030185000400       </v>
      </c>
      <c r="F182" t="str">
        <f>CONCATENATE("605745230","")</f>
        <v>605745230</v>
      </c>
      <c r="G182" t="s">
        <v>366</v>
      </c>
      <c r="H182" t="s">
        <v>369</v>
      </c>
      <c r="I182" t="s">
        <v>365</v>
      </c>
      <c r="J182" t="str">
        <f>CONCATENATE("080301","")</f>
        <v>080301</v>
      </c>
      <c r="K182" t="s">
        <v>22</v>
      </c>
      <c r="L182" t="s">
        <v>23</v>
      </c>
      <c r="M182" t="str">
        <f t="shared" si="19"/>
        <v>1</v>
      </c>
      <c r="O182" t="str">
        <f>CONCATENATE("1 ","")</f>
        <v>1 </v>
      </c>
      <c r="P182">
        <v>20.1</v>
      </c>
      <c r="Q182" t="s">
        <v>24</v>
      </c>
    </row>
    <row r="183" spans="1:17" ht="15">
      <c r="A183" t="s">
        <v>17</v>
      </c>
      <c r="B183" s="1">
        <v>43152</v>
      </c>
      <c r="C183" t="s">
        <v>111</v>
      </c>
      <c r="D183" t="str">
        <f>CONCATENATE("0070010165","")</f>
        <v>0070010165</v>
      </c>
      <c r="E183" t="str">
        <f>CONCATENATE("0030185000415       ","")</f>
        <v>0030185000415       </v>
      </c>
      <c r="F183" t="str">
        <f>CONCATENATE("605745224","")</f>
        <v>605745224</v>
      </c>
      <c r="G183" t="s">
        <v>366</v>
      </c>
      <c r="H183" t="s">
        <v>370</v>
      </c>
      <c r="I183" t="s">
        <v>371</v>
      </c>
      <c r="J183" t="str">
        <f>CONCATENATE("080301","")</f>
        <v>080301</v>
      </c>
      <c r="K183" t="s">
        <v>22</v>
      </c>
      <c r="L183" t="s">
        <v>23</v>
      </c>
      <c r="M183" t="str">
        <f t="shared" si="19"/>
        <v>1</v>
      </c>
      <c r="O183" t="str">
        <f>CONCATENATE("2 ","")</f>
        <v>2 </v>
      </c>
      <c r="P183">
        <v>58.25</v>
      </c>
      <c r="Q183" t="s">
        <v>24</v>
      </c>
    </row>
    <row r="184" spans="1:17" ht="15">
      <c r="A184" t="s">
        <v>17</v>
      </c>
      <c r="B184" s="1">
        <v>43152</v>
      </c>
      <c r="C184" t="s">
        <v>100</v>
      </c>
      <c r="D184" t="str">
        <f>CONCATENATE("0070002165","")</f>
        <v>0070002165</v>
      </c>
      <c r="E184" t="str">
        <f>CONCATENATE("0030185000430       ","")</f>
        <v>0030185000430       </v>
      </c>
      <c r="F184" t="str">
        <f>CONCATENATE("2181853","")</f>
        <v>2181853</v>
      </c>
      <c r="G184" t="s">
        <v>366</v>
      </c>
      <c r="H184" t="s">
        <v>372</v>
      </c>
      <c r="I184" t="s">
        <v>365</v>
      </c>
      <c r="J184" t="str">
        <f>CONCATENATE("080308","")</f>
        <v>080308</v>
      </c>
      <c r="K184" t="s">
        <v>22</v>
      </c>
      <c r="L184" t="s">
        <v>23</v>
      </c>
      <c r="M184" t="str">
        <f t="shared" si="19"/>
        <v>1</v>
      </c>
      <c r="O184" t="str">
        <f>CONCATENATE("2 ","")</f>
        <v>2 </v>
      </c>
      <c r="P184">
        <v>18.5</v>
      </c>
      <c r="Q184" t="s">
        <v>24</v>
      </c>
    </row>
    <row r="185" spans="1:17" ht="15">
      <c r="A185" t="s">
        <v>17</v>
      </c>
      <c r="B185" s="1">
        <v>43152</v>
      </c>
      <c r="C185" t="s">
        <v>111</v>
      </c>
      <c r="D185" t="str">
        <f>CONCATENATE("0070002166","")</f>
        <v>0070002166</v>
      </c>
      <c r="E185" t="str">
        <f>CONCATENATE("0030185000440       ","")</f>
        <v>0030185000440       </v>
      </c>
      <c r="F185" t="str">
        <f>CONCATENATE("606903443","")</f>
        <v>606903443</v>
      </c>
      <c r="G185" t="s">
        <v>361</v>
      </c>
      <c r="H185" t="s">
        <v>373</v>
      </c>
      <c r="I185" t="s">
        <v>365</v>
      </c>
      <c r="J185" t="str">
        <f>CONCATENATE("080301","")</f>
        <v>080301</v>
      </c>
      <c r="K185" t="s">
        <v>22</v>
      </c>
      <c r="L185" t="s">
        <v>23</v>
      </c>
      <c r="M185" t="str">
        <f t="shared" si="19"/>
        <v>1</v>
      </c>
      <c r="O185" t="str">
        <f>CONCATENATE("3 ","")</f>
        <v>3 </v>
      </c>
      <c r="P185">
        <v>70</v>
      </c>
      <c r="Q185" t="s">
        <v>24</v>
      </c>
    </row>
    <row r="186" spans="1:17" ht="15">
      <c r="A186" t="s">
        <v>17</v>
      </c>
      <c r="B186" s="1">
        <v>43152</v>
      </c>
      <c r="C186" t="s">
        <v>111</v>
      </c>
      <c r="D186" t="str">
        <f>CONCATENATE("0070021903","")</f>
        <v>0070021903</v>
      </c>
      <c r="E186" t="str">
        <f>CONCATENATE("0030185000443       ","")</f>
        <v>0030185000443       </v>
      </c>
      <c r="F186" t="str">
        <f>CONCATENATE("2183393","")</f>
        <v>2183393</v>
      </c>
      <c r="G186" t="s">
        <v>361</v>
      </c>
      <c r="H186" t="s">
        <v>374</v>
      </c>
      <c r="I186" t="s">
        <v>375</v>
      </c>
      <c r="J186" t="str">
        <f>CONCATENATE("080301","")</f>
        <v>080301</v>
      </c>
      <c r="K186" t="s">
        <v>22</v>
      </c>
      <c r="L186" t="s">
        <v>23</v>
      </c>
      <c r="M186" t="str">
        <f t="shared" si="19"/>
        <v>1</v>
      </c>
      <c r="O186" t="str">
        <f>CONCATENATE("1 ","")</f>
        <v>1 </v>
      </c>
      <c r="P186">
        <v>11.7</v>
      </c>
      <c r="Q186" t="s">
        <v>24</v>
      </c>
    </row>
    <row r="187" spans="1:17" ht="15">
      <c r="A187" t="s">
        <v>17</v>
      </c>
      <c r="B187" s="1">
        <v>43152</v>
      </c>
      <c r="C187" t="s">
        <v>376</v>
      </c>
      <c r="D187" t="str">
        <f>CONCATENATE("0070022099","")</f>
        <v>0070022099</v>
      </c>
      <c r="E187" t="str">
        <f>CONCATENATE("0030201000037       ","")</f>
        <v>0030201000037       </v>
      </c>
      <c r="F187" t="str">
        <f>CONCATENATE("1931103","")</f>
        <v>1931103</v>
      </c>
      <c r="G187" t="s">
        <v>377</v>
      </c>
      <c r="H187" t="s">
        <v>378</v>
      </c>
      <c r="I187" t="s">
        <v>379</v>
      </c>
      <c r="J187" t="str">
        <f aca="true" t="shared" si="20" ref="J187:J218">CONCATENATE("080302","")</f>
        <v>080302</v>
      </c>
      <c r="K187" t="s">
        <v>22</v>
      </c>
      <c r="L187" t="s">
        <v>23</v>
      </c>
      <c r="M187" t="str">
        <f t="shared" si="19"/>
        <v>1</v>
      </c>
      <c r="O187" t="str">
        <f>CONCATENATE("2 ","")</f>
        <v>2 </v>
      </c>
      <c r="P187">
        <v>17.7</v>
      </c>
      <c r="Q187" t="s">
        <v>24</v>
      </c>
    </row>
    <row r="188" spans="1:17" ht="15">
      <c r="A188" t="s">
        <v>17</v>
      </c>
      <c r="B188" s="1">
        <v>43152</v>
      </c>
      <c r="C188" t="s">
        <v>376</v>
      </c>
      <c r="D188" t="str">
        <f>CONCATENATE("0070002173","")</f>
        <v>0070002173</v>
      </c>
      <c r="E188" t="str">
        <f>CONCATENATE("0030201000050       ","")</f>
        <v>0030201000050       </v>
      </c>
      <c r="F188" t="str">
        <f>CONCATENATE("1604103","")</f>
        <v>1604103</v>
      </c>
      <c r="G188" t="s">
        <v>377</v>
      </c>
      <c r="H188" t="s">
        <v>380</v>
      </c>
      <c r="I188" t="s">
        <v>381</v>
      </c>
      <c r="J188" t="str">
        <f t="shared" si="20"/>
        <v>080302</v>
      </c>
      <c r="K188" t="s">
        <v>22</v>
      </c>
      <c r="L188" t="s">
        <v>23</v>
      </c>
      <c r="M188" t="str">
        <f t="shared" si="19"/>
        <v>1</v>
      </c>
      <c r="O188" t="str">
        <f>CONCATENATE("1 ","")</f>
        <v>1 </v>
      </c>
      <c r="P188">
        <v>1043.95</v>
      </c>
      <c r="Q188" t="s">
        <v>24</v>
      </c>
    </row>
    <row r="189" spans="1:17" ht="15">
      <c r="A189" t="s">
        <v>17</v>
      </c>
      <c r="B189" s="1">
        <v>43152</v>
      </c>
      <c r="C189" t="s">
        <v>376</v>
      </c>
      <c r="D189" t="str">
        <f>CONCATENATE("0070011610","")</f>
        <v>0070011610</v>
      </c>
      <c r="E189" t="str">
        <f>CONCATENATE("0030201000051       ","")</f>
        <v>0030201000051       </v>
      </c>
      <c r="F189" t="str">
        <f>CONCATENATE("606677558","")</f>
        <v>606677558</v>
      </c>
      <c r="G189" t="s">
        <v>377</v>
      </c>
      <c r="H189" t="s">
        <v>382</v>
      </c>
      <c r="I189" t="s">
        <v>376</v>
      </c>
      <c r="J189" t="str">
        <f t="shared" si="20"/>
        <v>080302</v>
      </c>
      <c r="K189" t="s">
        <v>22</v>
      </c>
      <c r="L189" t="s">
        <v>23</v>
      </c>
      <c r="M189" t="str">
        <f t="shared" si="19"/>
        <v>1</v>
      </c>
      <c r="O189" t="str">
        <f>CONCATENATE("1 ","")</f>
        <v>1 </v>
      </c>
      <c r="P189">
        <v>232.1</v>
      </c>
      <c r="Q189" t="s">
        <v>24</v>
      </c>
    </row>
    <row r="190" spans="1:17" ht="15">
      <c r="A190" t="s">
        <v>17</v>
      </c>
      <c r="B190" s="1">
        <v>43152</v>
      </c>
      <c r="C190" t="s">
        <v>376</v>
      </c>
      <c r="D190" t="str">
        <f>CONCATENATE("0070002180","")</f>
        <v>0070002180</v>
      </c>
      <c r="E190" t="str">
        <f>CONCATENATE("0030201000064       ","")</f>
        <v>0030201000064       </v>
      </c>
      <c r="F190" t="str">
        <f>CONCATENATE("110742","")</f>
        <v>110742</v>
      </c>
      <c r="G190" t="s">
        <v>383</v>
      </c>
      <c r="H190" t="s">
        <v>384</v>
      </c>
      <c r="I190" t="s">
        <v>376</v>
      </c>
      <c r="J190" t="str">
        <f t="shared" si="20"/>
        <v>080302</v>
      </c>
      <c r="K190" t="s">
        <v>22</v>
      </c>
      <c r="L190" t="s">
        <v>23</v>
      </c>
      <c r="M190" t="str">
        <f>CONCATENATE("3","")</f>
        <v>3</v>
      </c>
      <c r="O190" t="str">
        <f>CONCATENATE("1 ","")</f>
        <v>1 </v>
      </c>
      <c r="P190">
        <v>95.65</v>
      </c>
      <c r="Q190" t="s">
        <v>51</v>
      </c>
    </row>
    <row r="191" spans="1:17" ht="15">
      <c r="A191" t="s">
        <v>17</v>
      </c>
      <c r="B191" s="1">
        <v>43152</v>
      </c>
      <c r="C191" t="s">
        <v>376</v>
      </c>
      <c r="D191" t="str">
        <f>CONCATENATE("0070009830","")</f>
        <v>0070009830</v>
      </c>
      <c r="E191" t="str">
        <f>CONCATENATE("0030201000068       ","")</f>
        <v>0030201000068       </v>
      </c>
      <c r="F191" t="str">
        <f>CONCATENATE("607450195","")</f>
        <v>607450195</v>
      </c>
      <c r="G191" t="s">
        <v>383</v>
      </c>
      <c r="H191" t="s">
        <v>385</v>
      </c>
      <c r="I191" t="s">
        <v>376</v>
      </c>
      <c r="J191" t="str">
        <f t="shared" si="20"/>
        <v>080302</v>
      </c>
      <c r="K191" t="s">
        <v>22</v>
      </c>
      <c r="L191" t="s">
        <v>23</v>
      </c>
      <c r="M191" t="str">
        <f aca="true" t="shared" si="21" ref="M191:M224">CONCATENATE("1","")</f>
        <v>1</v>
      </c>
      <c r="O191" t="str">
        <f>CONCATENATE("2 ","")</f>
        <v>2 </v>
      </c>
      <c r="P191">
        <v>105.5</v>
      </c>
      <c r="Q191" t="s">
        <v>24</v>
      </c>
    </row>
    <row r="192" spans="1:17" ht="15">
      <c r="A192" t="s">
        <v>17</v>
      </c>
      <c r="B192" s="1">
        <v>43152</v>
      </c>
      <c r="C192" t="s">
        <v>376</v>
      </c>
      <c r="D192" t="str">
        <f>CONCATENATE("0070012619","")</f>
        <v>0070012619</v>
      </c>
      <c r="E192" t="str">
        <f>CONCATENATE("0030201000075       ","")</f>
        <v>0030201000075       </v>
      </c>
      <c r="F192" t="str">
        <f>CONCATENATE("605749299","")</f>
        <v>605749299</v>
      </c>
      <c r="G192" t="s">
        <v>383</v>
      </c>
      <c r="H192" t="s">
        <v>386</v>
      </c>
      <c r="I192" t="s">
        <v>387</v>
      </c>
      <c r="J192" t="str">
        <f t="shared" si="20"/>
        <v>080302</v>
      </c>
      <c r="K192" t="s">
        <v>22</v>
      </c>
      <c r="L192" t="s">
        <v>23</v>
      </c>
      <c r="M192" t="str">
        <f t="shared" si="21"/>
        <v>1</v>
      </c>
      <c r="O192" t="str">
        <f>CONCATENATE("1 ","")</f>
        <v>1 </v>
      </c>
      <c r="P192">
        <v>221.9</v>
      </c>
      <c r="Q192" t="s">
        <v>24</v>
      </c>
    </row>
    <row r="193" spans="1:17" ht="15">
      <c r="A193" t="s">
        <v>17</v>
      </c>
      <c r="B193" s="1">
        <v>43152</v>
      </c>
      <c r="C193" t="s">
        <v>376</v>
      </c>
      <c r="D193" t="str">
        <f>CONCATENATE("0070018601","")</f>
        <v>0070018601</v>
      </c>
      <c r="E193" t="str">
        <f>CONCATENATE("0030201000096       ","")</f>
        <v>0030201000096       </v>
      </c>
      <c r="F193" t="str">
        <f>CONCATENATE("605746503","")</f>
        <v>605746503</v>
      </c>
      <c r="G193" t="s">
        <v>377</v>
      </c>
      <c r="H193" t="s">
        <v>388</v>
      </c>
      <c r="I193" t="s">
        <v>389</v>
      </c>
      <c r="J193" t="str">
        <f t="shared" si="20"/>
        <v>080302</v>
      </c>
      <c r="K193" t="s">
        <v>22</v>
      </c>
      <c r="L193" t="s">
        <v>23</v>
      </c>
      <c r="M193" t="str">
        <f t="shared" si="21"/>
        <v>1</v>
      </c>
      <c r="O193" t="str">
        <f>CONCATENATE("1 ","")</f>
        <v>1 </v>
      </c>
      <c r="P193">
        <v>35.75</v>
      </c>
      <c r="Q193" t="s">
        <v>24</v>
      </c>
    </row>
    <row r="194" spans="1:17" ht="15">
      <c r="A194" t="s">
        <v>17</v>
      </c>
      <c r="B194" s="1">
        <v>43152</v>
      </c>
      <c r="C194" t="s">
        <v>376</v>
      </c>
      <c r="D194" t="str">
        <f>CONCATENATE("0070002200","")</f>
        <v>0070002200</v>
      </c>
      <c r="E194" t="str">
        <f>CONCATENATE("0030201000141       ","")</f>
        <v>0030201000141       </v>
      </c>
      <c r="F194" t="str">
        <f>CONCATENATE("606850063","")</f>
        <v>606850063</v>
      </c>
      <c r="G194" t="s">
        <v>377</v>
      </c>
      <c r="H194" t="s">
        <v>390</v>
      </c>
      <c r="I194" t="s">
        <v>376</v>
      </c>
      <c r="J194" t="str">
        <f t="shared" si="20"/>
        <v>080302</v>
      </c>
      <c r="K194" t="s">
        <v>22</v>
      </c>
      <c r="L194" t="s">
        <v>23</v>
      </c>
      <c r="M194" t="str">
        <f t="shared" si="21"/>
        <v>1</v>
      </c>
      <c r="O194" t="str">
        <f>CONCATENATE("2 ","")</f>
        <v>2 </v>
      </c>
      <c r="P194">
        <v>101.7</v>
      </c>
      <c r="Q194" t="s">
        <v>24</v>
      </c>
    </row>
    <row r="195" spans="1:17" ht="15">
      <c r="A195" t="s">
        <v>17</v>
      </c>
      <c r="B195" s="1">
        <v>43152</v>
      </c>
      <c r="C195" t="s">
        <v>376</v>
      </c>
      <c r="D195" t="str">
        <f>CONCATENATE("0070002205","")</f>
        <v>0070002205</v>
      </c>
      <c r="E195" t="str">
        <f>CONCATENATE("0030201000165       ","")</f>
        <v>0030201000165       </v>
      </c>
      <c r="F195" t="str">
        <f>CONCATENATE("2191686","")</f>
        <v>2191686</v>
      </c>
      <c r="G195" t="s">
        <v>377</v>
      </c>
      <c r="H195" t="s">
        <v>391</v>
      </c>
      <c r="I195" t="s">
        <v>376</v>
      </c>
      <c r="J195" t="str">
        <f t="shared" si="20"/>
        <v>080302</v>
      </c>
      <c r="K195" t="s">
        <v>22</v>
      </c>
      <c r="L195" t="s">
        <v>23</v>
      </c>
      <c r="M195" t="str">
        <f t="shared" si="21"/>
        <v>1</v>
      </c>
      <c r="O195" t="str">
        <f aca="true" t="shared" si="22" ref="O195:O200">CONCATENATE("1 ","")</f>
        <v>1 </v>
      </c>
      <c r="P195">
        <v>54.45</v>
      </c>
      <c r="Q195" t="s">
        <v>24</v>
      </c>
    </row>
    <row r="196" spans="1:17" ht="15">
      <c r="A196" t="s">
        <v>17</v>
      </c>
      <c r="B196" s="1">
        <v>43152</v>
      </c>
      <c r="C196" t="s">
        <v>376</v>
      </c>
      <c r="D196" t="str">
        <f>CONCATENATE("0070021311","")</f>
        <v>0070021311</v>
      </c>
      <c r="E196" t="str">
        <f>CONCATENATE("0030201000174       ","")</f>
        <v>0030201000174       </v>
      </c>
      <c r="F196" t="str">
        <f>CONCATENATE("606851538","")</f>
        <v>606851538</v>
      </c>
      <c r="G196" t="s">
        <v>377</v>
      </c>
      <c r="H196" t="s">
        <v>392</v>
      </c>
      <c r="I196" t="s">
        <v>393</v>
      </c>
      <c r="J196" t="str">
        <f t="shared" si="20"/>
        <v>080302</v>
      </c>
      <c r="K196" t="s">
        <v>22</v>
      </c>
      <c r="L196" t="s">
        <v>23</v>
      </c>
      <c r="M196" t="str">
        <f t="shared" si="21"/>
        <v>1</v>
      </c>
      <c r="O196" t="str">
        <f t="shared" si="22"/>
        <v>1 </v>
      </c>
      <c r="P196">
        <v>17.85</v>
      </c>
      <c r="Q196" t="s">
        <v>24</v>
      </c>
    </row>
    <row r="197" spans="1:17" ht="15">
      <c r="A197" t="s">
        <v>17</v>
      </c>
      <c r="B197" s="1">
        <v>43152</v>
      </c>
      <c r="C197" t="s">
        <v>376</v>
      </c>
      <c r="D197" t="str">
        <f>CONCATENATE("0070012606","")</f>
        <v>0070012606</v>
      </c>
      <c r="E197" t="str">
        <f>CONCATENATE("0030201000185       ","")</f>
        <v>0030201000185       </v>
      </c>
      <c r="F197" t="str">
        <f>CONCATENATE("606904711","")</f>
        <v>606904711</v>
      </c>
      <c r="G197" t="s">
        <v>394</v>
      </c>
      <c r="H197" t="s">
        <v>395</v>
      </c>
      <c r="I197" t="s">
        <v>376</v>
      </c>
      <c r="J197" t="str">
        <f t="shared" si="20"/>
        <v>080302</v>
      </c>
      <c r="K197" t="s">
        <v>22</v>
      </c>
      <c r="L197" t="s">
        <v>23</v>
      </c>
      <c r="M197" t="str">
        <f t="shared" si="21"/>
        <v>1</v>
      </c>
      <c r="O197" t="str">
        <f t="shared" si="22"/>
        <v>1 </v>
      </c>
      <c r="P197">
        <v>180.75</v>
      </c>
      <c r="Q197" t="s">
        <v>24</v>
      </c>
    </row>
    <row r="198" spans="1:17" ht="15">
      <c r="A198" t="s">
        <v>17</v>
      </c>
      <c r="B198" s="1">
        <v>43152</v>
      </c>
      <c r="C198" t="s">
        <v>376</v>
      </c>
      <c r="D198" t="str">
        <f>CONCATENATE("0070018675","")</f>
        <v>0070018675</v>
      </c>
      <c r="E198" t="str">
        <f>CONCATENATE("0030201000203       ","")</f>
        <v>0030201000203       </v>
      </c>
      <c r="F198" t="str">
        <f>CONCATENATE("605741572","")</f>
        <v>605741572</v>
      </c>
      <c r="G198" t="s">
        <v>377</v>
      </c>
      <c r="H198" t="s">
        <v>396</v>
      </c>
      <c r="I198" t="s">
        <v>376</v>
      </c>
      <c r="J198" t="str">
        <f t="shared" si="20"/>
        <v>080302</v>
      </c>
      <c r="K198" t="s">
        <v>22</v>
      </c>
      <c r="L198" t="s">
        <v>23</v>
      </c>
      <c r="M198" t="str">
        <f t="shared" si="21"/>
        <v>1</v>
      </c>
      <c r="O198" t="str">
        <f t="shared" si="22"/>
        <v>1 </v>
      </c>
      <c r="P198">
        <v>62.35</v>
      </c>
      <c r="Q198" t="s">
        <v>24</v>
      </c>
    </row>
    <row r="199" spans="1:17" ht="15">
      <c r="A199" t="s">
        <v>17</v>
      </c>
      <c r="B199" s="1">
        <v>43152</v>
      </c>
      <c r="C199" t="s">
        <v>376</v>
      </c>
      <c r="D199" t="str">
        <f>CONCATENATE("0070002218","")</f>
        <v>0070002218</v>
      </c>
      <c r="E199" t="str">
        <f>CONCATENATE("0030201000240       ","")</f>
        <v>0030201000240       </v>
      </c>
      <c r="F199" t="str">
        <f>CONCATENATE("607448696","")</f>
        <v>607448696</v>
      </c>
      <c r="G199" t="s">
        <v>383</v>
      </c>
      <c r="H199" t="s">
        <v>397</v>
      </c>
      <c r="I199" t="s">
        <v>381</v>
      </c>
      <c r="J199" t="str">
        <f t="shared" si="20"/>
        <v>080302</v>
      </c>
      <c r="K199" t="s">
        <v>22</v>
      </c>
      <c r="L199" t="s">
        <v>23</v>
      </c>
      <c r="M199" t="str">
        <f t="shared" si="21"/>
        <v>1</v>
      </c>
      <c r="O199" t="str">
        <f t="shared" si="22"/>
        <v>1 </v>
      </c>
      <c r="P199">
        <v>79.05</v>
      </c>
      <c r="Q199" t="s">
        <v>24</v>
      </c>
    </row>
    <row r="200" spans="1:17" ht="15">
      <c r="A200" t="s">
        <v>17</v>
      </c>
      <c r="B200" s="1">
        <v>43152</v>
      </c>
      <c r="C200" t="s">
        <v>376</v>
      </c>
      <c r="D200" t="str">
        <f>CONCATENATE("0070002220","")</f>
        <v>0070002220</v>
      </c>
      <c r="E200" t="str">
        <f>CONCATENATE("0030201000260       ","")</f>
        <v>0030201000260       </v>
      </c>
      <c r="F200" t="str">
        <f>CONCATENATE("607450184","")</f>
        <v>607450184</v>
      </c>
      <c r="G200" t="s">
        <v>383</v>
      </c>
      <c r="H200" t="s">
        <v>398</v>
      </c>
      <c r="I200" t="s">
        <v>381</v>
      </c>
      <c r="J200" t="str">
        <f t="shared" si="20"/>
        <v>080302</v>
      </c>
      <c r="K200" t="s">
        <v>22</v>
      </c>
      <c r="L200" t="s">
        <v>23</v>
      </c>
      <c r="M200" t="str">
        <f t="shared" si="21"/>
        <v>1</v>
      </c>
      <c r="O200" t="str">
        <f t="shared" si="22"/>
        <v>1 </v>
      </c>
      <c r="P200">
        <v>69.55</v>
      </c>
      <c r="Q200" t="s">
        <v>24</v>
      </c>
    </row>
    <row r="201" spans="1:17" ht="15">
      <c r="A201" t="s">
        <v>17</v>
      </c>
      <c r="B201" s="1">
        <v>43152</v>
      </c>
      <c r="C201" t="s">
        <v>376</v>
      </c>
      <c r="D201" t="str">
        <f>CONCATENATE("0070019367","")</f>
        <v>0070019367</v>
      </c>
      <c r="E201" t="str">
        <f>CONCATENATE("0030201000282       ","")</f>
        <v>0030201000282       </v>
      </c>
      <c r="F201" t="str">
        <f>CONCATENATE("605944619","")</f>
        <v>605944619</v>
      </c>
      <c r="G201" t="s">
        <v>383</v>
      </c>
      <c r="H201" t="s">
        <v>399</v>
      </c>
      <c r="I201" t="s">
        <v>400</v>
      </c>
      <c r="J201" t="str">
        <f t="shared" si="20"/>
        <v>080302</v>
      </c>
      <c r="K201" t="s">
        <v>22</v>
      </c>
      <c r="L201" t="s">
        <v>23</v>
      </c>
      <c r="M201" t="str">
        <f t="shared" si="21"/>
        <v>1</v>
      </c>
      <c r="O201" t="str">
        <f>CONCATENATE("3 ","")</f>
        <v>3 </v>
      </c>
      <c r="P201">
        <v>240.4</v>
      </c>
      <c r="Q201" t="s">
        <v>24</v>
      </c>
    </row>
    <row r="202" spans="1:17" ht="15">
      <c r="A202" t="s">
        <v>17</v>
      </c>
      <c r="B202" s="1">
        <v>43152</v>
      </c>
      <c r="C202" t="s">
        <v>376</v>
      </c>
      <c r="D202" t="str">
        <f>CONCATENATE("0070002242","")</f>
        <v>0070002242</v>
      </c>
      <c r="E202" t="str">
        <f>CONCATENATE("0030201000400       ","")</f>
        <v>0030201000400       </v>
      </c>
      <c r="F202" t="str">
        <f>CONCATENATE("606930374","")</f>
        <v>606930374</v>
      </c>
      <c r="G202" t="s">
        <v>383</v>
      </c>
      <c r="H202" t="s">
        <v>401</v>
      </c>
      <c r="I202" t="s">
        <v>381</v>
      </c>
      <c r="J202" t="str">
        <f t="shared" si="20"/>
        <v>080302</v>
      </c>
      <c r="K202" t="s">
        <v>22</v>
      </c>
      <c r="L202" t="s">
        <v>23</v>
      </c>
      <c r="M202" t="str">
        <f t="shared" si="21"/>
        <v>1</v>
      </c>
      <c r="O202" t="str">
        <f aca="true" t="shared" si="23" ref="O202:O208">CONCATENATE("1 ","")</f>
        <v>1 </v>
      </c>
      <c r="P202">
        <v>59.25</v>
      </c>
      <c r="Q202" t="s">
        <v>24</v>
      </c>
    </row>
    <row r="203" spans="1:17" ht="15">
      <c r="A203" t="s">
        <v>17</v>
      </c>
      <c r="B203" s="1">
        <v>43152</v>
      </c>
      <c r="C203" t="s">
        <v>376</v>
      </c>
      <c r="D203" t="str">
        <f>CONCATENATE("0070002246","")</f>
        <v>0070002246</v>
      </c>
      <c r="E203" t="str">
        <f>CONCATENATE("0030201000420       ","")</f>
        <v>0030201000420       </v>
      </c>
      <c r="F203" t="str">
        <f>CONCATENATE("1938226","")</f>
        <v>1938226</v>
      </c>
      <c r="G203" t="s">
        <v>383</v>
      </c>
      <c r="H203" t="s">
        <v>402</v>
      </c>
      <c r="I203" t="s">
        <v>381</v>
      </c>
      <c r="J203" t="str">
        <f t="shared" si="20"/>
        <v>080302</v>
      </c>
      <c r="K203" t="s">
        <v>22</v>
      </c>
      <c r="L203" t="s">
        <v>23</v>
      </c>
      <c r="M203" t="str">
        <f t="shared" si="21"/>
        <v>1</v>
      </c>
      <c r="O203" t="str">
        <f t="shared" si="23"/>
        <v>1 </v>
      </c>
      <c r="P203">
        <v>16.2</v>
      </c>
      <c r="Q203" t="s">
        <v>24</v>
      </c>
    </row>
    <row r="204" spans="1:17" ht="15">
      <c r="A204" t="s">
        <v>17</v>
      </c>
      <c r="B204" s="1">
        <v>43152</v>
      </c>
      <c r="C204" t="s">
        <v>376</v>
      </c>
      <c r="D204" t="str">
        <f>CONCATENATE("0070013212","")</f>
        <v>0070013212</v>
      </c>
      <c r="E204" t="str">
        <f>CONCATENATE("0030201000463       ","")</f>
        <v>0030201000463       </v>
      </c>
      <c r="F204" t="str">
        <f>CONCATENATE("1933401","")</f>
        <v>1933401</v>
      </c>
      <c r="G204" t="s">
        <v>383</v>
      </c>
      <c r="H204" t="s">
        <v>403</v>
      </c>
      <c r="I204" t="s">
        <v>387</v>
      </c>
      <c r="J204" t="str">
        <f t="shared" si="20"/>
        <v>080302</v>
      </c>
      <c r="K204" t="s">
        <v>22</v>
      </c>
      <c r="L204" t="s">
        <v>23</v>
      </c>
      <c r="M204" t="str">
        <f t="shared" si="21"/>
        <v>1</v>
      </c>
      <c r="O204" t="str">
        <f t="shared" si="23"/>
        <v>1 </v>
      </c>
      <c r="P204">
        <v>160.25</v>
      </c>
      <c r="Q204" t="s">
        <v>24</v>
      </c>
    </row>
    <row r="205" spans="1:17" ht="15">
      <c r="A205" t="s">
        <v>17</v>
      </c>
      <c r="B205" s="1">
        <v>43152</v>
      </c>
      <c r="C205" t="s">
        <v>376</v>
      </c>
      <c r="D205" t="str">
        <f>CONCATENATE("0070013783","")</f>
        <v>0070013783</v>
      </c>
      <c r="E205" t="str">
        <f>CONCATENATE("0030201000597       ","")</f>
        <v>0030201000597       </v>
      </c>
      <c r="F205" t="str">
        <f>CONCATENATE("606930361","")</f>
        <v>606930361</v>
      </c>
      <c r="G205" t="s">
        <v>383</v>
      </c>
      <c r="H205" t="s">
        <v>404</v>
      </c>
      <c r="I205" t="s">
        <v>405</v>
      </c>
      <c r="J205" t="str">
        <f t="shared" si="20"/>
        <v>080302</v>
      </c>
      <c r="K205" t="s">
        <v>22</v>
      </c>
      <c r="L205" t="s">
        <v>23</v>
      </c>
      <c r="M205" t="str">
        <f t="shared" si="21"/>
        <v>1</v>
      </c>
      <c r="O205" t="str">
        <f t="shared" si="23"/>
        <v>1 </v>
      </c>
      <c r="P205">
        <v>12.8</v>
      </c>
      <c r="Q205" t="s">
        <v>24</v>
      </c>
    </row>
    <row r="206" spans="1:17" ht="15">
      <c r="A206" t="s">
        <v>17</v>
      </c>
      <c r="B206" s="1">
        <v>43152</v>
      </c>
      <c r="C206" t="s">
        <v>376</v>
      </c>
      <c r="D206" t="str">
        <f>CONCATENATE("0070020496","")</f>
        <v>0070020496</v>
      </c>
      <c r="E206" t="str">
        <f>CONCATENATE("0030201000629       ","")</f>
        <v>0030201000629       </v>
      </c>
      <c r="F206" t="str">
        <f>CONCATENATE("605940299","")</f>
        <v>605940299</v>
      </c>
      <c r="G206" t="s">
        <v>377</v>
      </c>
      <c r="H206" t="s">
        <v>406</v>
      </c>
      <c r="I206" t="s">
        <v>407</v>
      </c>
      <c r="J206" t="str">
        <f t="shared" si="20"/>
        <v>080302</v>
      </c>
      <c r="K206" t="s">
        <v>22</v>
      </c>
      <c r="L206" t="s">
        <v>23</v>
      </c>
      <c r="M206" t="str">
        <f t="shared" si="21"/>
        <v>1</v>
      </c>
      <c r="O206" t="str">
        <f t="shared" si="23"/>
        <v>1 </v>
      </c>
      <c r="P206">
        <v>13.95</v>
      </c>
      <c r="Q206" t="s">
        <v>24</v>
      </c>
    </row>
    <row r="207" spans="1:17" ht="15">
      <c r="A207" t="s">
        <v>17</v>
      </c>
      <c r="B207" s="1">
        <v>43152</v>
      </c>
      <c r="C207" t="s">
        <v>376</v>
      </c>
      <c r="D207" t="str">
        <f>CONCATENATE("0070002288","")</f>
        <v>0070002288</v>
      </c>
      <c r="E207" t="str">
        <f>CONCATENATE("0030201000635       ","")</f>
        <v>0030201000635       </v>
      </c>
      <c r="F207" t="str">
        <f>CONCATENATE("1930472","")</f>
        <v>1930472</v>
      </c>
      <c r="G207" t="s">
        <v>383</v>
      </c>
      <c r="H207" t="s">
        <v>408</v>
      </c>
      <c r="I207" t="s">
        <v>381</v>
      </c>
      <c r="J207" t="str">
        <f t="shared" si="20"/>
        <v>080302</v>
      </c>
      <c r="K207" t="s">
        <v>22</v>
      </c>
      <c r="L207" t="s">
        <v>23</v>
      </c>
      <c r="M207" t="str">
        <f t="shared" si="21"/>
        <v>1</v>
      </c>
      <c r="O207" t="str">
        <f t="shared" si="23"/>
        <v>1 </v>
      </c>
      <c r="P207">
        <v>10.7</v>
      </c>
      <c r="Q207" t="s">
        <v>24</v>
      </c>
    </row>
    <row r="208" spans="1:17" ht="15">
      <c r="A208" t="s">
        <v>17</v>
      </c>
      <c r="B208" s="1">
        <v>43152</v>
      </c>
      <c r="C208" t="s">
        <v>376</v>
      </c>
      <c r="D208" t="str">
        <f>CONCATENATE("0070012614","")</f>
        <v>0070012614</v>
      </c>
      <c r="E208" t="str">
        <f>CONCATENATE("0030201000649       ","")</f>
        <v>0030201000649       </v>
      </c>
      <c r="F208" t="str">
        <f>CONCATENATE("605745139","")</f>
        <v>605745139</v>
      </c>
      <c r="G208" t="s">
        <v>383</v>
      </c>
      <c r="H208" t="s">
        <v>409</v>
      </c>
      <c r="I208" t="s">
        <v>410</v>
      </c>
      <c r="J208" t="str">
        <f t="shared" si="20"/>
        <v>080302</v>
      </c>
      <c r="K208" t="s">
        <v>22</v>
      </c>
      <c r="L208" t="s">
        <v>23</v>
      </c>
      <c r="M208" t="str">
        <f t="shared" si="21"/>
        <v>1</v>
      </c>
      <c r="O208" t="str">
        <f t="shared" si="23"/>
        <v>1 </v>
      </c>
      <c r="P208">
        <v>19</v>
      </c>
      <c r="Q208" t="s">
        <v>24</v>
      </c>
    </row>
    <row r="209" spans="1:17" ht="15">
      <c r="A209" t="s">
        <v>17</v>
      </c>
      <c r="B209" s="1">
        <v>43152</v>
      </c>
      <c r="C209" t="s">
        <v>376</v>
      </c>
      <c r="D209" t="str">
        <f>CONCATENATE("0070015975","")</f>
        <v>0070015975</v>
      </c>
      <c r="E209" t="str">
        <f>CONCATENATE("0030201000656       ","")</f>
        <v>0030201000656       </v>
      </c>
      <c r="F209" t="str">
        <f>CONCATENATE("607300968","")</f>
        <v>607300968</v>
      </c>
      <c r="G209" t="s">
        <v>377</v>
      </c>
      <c r="H209" t="s">
        <v>411</v>
      </c>
      <c r="I209" t="s">
        <v>412</v>
      </c>
      <c r="J209" t="str">
        <f t="shared" si="20"/>
        <v>080302</v>
      </c>
      <c r="K209" t="s">
        <v>22</v>
      </c>
      <c r="L209" t="s">
        <v>23</v>
      </c>
      <c r="M209" t="str">
        <f t="shared" si="21"/>
        <v>1</v>
      </c>
      <c r="O209" t="str">
        <f>CONCATENATE("2 ","")</f>
        <v>2 </v>
      </c>
      <c r="P209">
        <v>32.45</v>
      </c>
      <c r="Q209" t="s">
        <v>24</v>
      </c>
    </row>
    <row r="210" spans="1:17" ht="15">
      <c r="A210" t="s">
        <v>17</v>
      </c>
      <c r="B210" s="1">
        <v>43152</v>
      </c>
      <c r="C210" t="s">
        <v>376</v>
      </c>
      <c r="D210" t="str">
        <f>CONCATENATE("0070002301","")</f>
        <v>0070002301</v>
      </c>
      <c r="E210" t="str">
        <f>CONCATENATE("0030201000685       ","")</f>
        <v>0030201000685       </v>
      </c>
      <c r="F210" t="str">
        <f>CONCATENATE("605277205","")</f>
        <v>605277205</v>
      </c>
      <c r="G210" t="s">
        <v>377</v>
      </c>
      <c r="H210" t="s">
        <v>413</v>
      </c>
      <c r="I210" t="s">
        <v>376</v>
      </c>
      <c r="J210" t="str">
        <f t="shared" si="20"/>
        <v>080302</v>
      </c>
      <c r="K210" t="s">
        <v>22</v>
      </c>
      <c r="L210" t="s">
        <v>23</v>
      </c>
      <c r="M210" t="str">
        <f t="shared" si="21"/>
        <v>1</v>
      </c>
      <c r="O210" t="str">
        <f>CONCATENATE("1 ","")</f>
        <v>1 </v>
      </c>
      <c r="P210">
        <v>94.3</v>
      </c>
      <c r="Q210" t="s">
        <v>24</v>
      </c>
    </row>
    <row r="211" spans="1:17" ht="15">
      <c r="A211" t="s">
        <v>17</v>
      </c>
      <c r="B211" s="1">
        <v>43152</v>
      </c>
      <c r="C211" t="s">
        <v>376</v>
      </c>
      <c r="D211" t="str">
        <f>CONCATENATE("0070002302","")</f>
        <v>0070002302</v>
      </c>
      <c r="E211" t="str">
        <f>CONCATENATE("0030201000690       ","")</f>
        <v>0030201000690       </v>
      </c>
      <c r="F211" t="str">
        <f>CONCATENATE("607306478","")</f>
        <v>607306478</v>
      </c>
      <c r="G211" t="s">
        <v>377</v>
      </c>
      <c r="H211" t="s">
        <v>414</v>
      </c>
      <c r="I211" t="s">
        <v>381</v>
      </c>
      <c r="J211" t="str">
        <f t="shared" si="20"/>
        <v>080302</v>
      </c>
      <c r="K211" t="s">
        <v>22</v>
      </c>
      <c r="L211" t="s">
        <v>23</v>
      </c>
      <c r="M211" t="str">
        <f t="shared" si="21"/>
        <v>1</v>
      </c>
      <c r="O211" t="str">
        <f>CONCATENATE("1 ","")</f>
        <v>1 </v>
      </c>
      <c r="P211">
        <v>24.1</v>
      </c>
      <c r="Q211" t="s">
        <v>24</v>
      </c>
    </row>
    <row r="212" spans="1:17" ht="15">
      <c r="A212" t="s">
        <v>17</v>
      </c>
      <c r="B212" s="1">
        <v>43152</v>
      </c>
      <c r="C212" t="s">
        <v>376</v>
      </c>
      <c r="D212" t="str">
        <f>CONCATENATE("0070013812","")</f>
        <v>0070013812</v>
      </c>
      <c r="E212" t="str">
        <f>CONCATENATE("0030201001215       ","")</f>
        <v>0030201001215       </v>
      </c>
      <c r="F212" t="str">
        <f>CONCATENATE("2191425","")</f>
        <v>2191425</v>
      </c>
      <c r="G212" t="s">
        <v>377</v>
      </c>
      <c r="H212" t="s">
        <v>415</v>
      </c>
      <c r="I212" t="s">
        <v>416</v>
      </c>
      <c r="J212" t="str">
        <f t="shared" si="20"/>
        <v>080302</v>
      </c>
      <c r="K212" t="s">
        <v>22</v>
      </c>
      <c r="L212" t="s">
        <v>23</v>
      </c>
      <c r="M212" t="str">
        <f t="shared" si="21"/>
        <v>1</v>
      </c>
      <c r="O212" t="str">
        <f>CONCATENATE("2 ","")</f>
        <v>2 </v>
      </c>
      <c r="P212">
        <v>42.95</v>
      </c>
      <c r="Q212" t="s">
        <v>24</v>
      </c>
    </row>
    <row r="213" spans="1:17" ht="15">
      <c r="A213" t="s">
        <v>17</v>
      </c>
      <c r="B213" s="1">
        <v>43152</v>
      </c>
      <c r="C213" t="s">
        <v>376</v>
      </c>
      <c r="D213" t="str">
        <f>CONCATENATE("0070002310","")</f>
        <v>0070002310</v>
      </c>
      <c r="E213" t="str">
        <f>CONCATENATE("0030201001218       ","")</f>
        <v>0030201001218       </v>
      </c>
      <c r="F213" t="str">
        <f>CONCATENATE("2191434","")</f>
        <v>2191434</v>
      </c>
      <c r="G213" t="s">
        <v>377</v>
      </c>
      <c r="H213" t="s">
        <v>417</v>
      </c>
      <c r="I213" t="s">
        <v>376</v>
      </c>
      <c r="J213" t="str">
        <f t="shared" si="20"/>
        <v>080302</v>
      </c>
      <c r="K213" t="s">
        <v>22</v>
      </c>
      <c r="L213" t="s">
        <v>23</v>
      </c>
      <c r="M213" t="str">
        <f t="shared" si="21"/>
        <v>1</v>
      </c>
      <c r="O213" t="str">
        <f>CONCATENATE("1 ","")</f>
        <v>1 </v>
      </c>
      <c r="P213">
        <v>13.15</v>
      </c>
      <c r="Q213" t="s">
        <v>24</v>
      </c>
    </row>
    <row r="214" spans="1:17" ht="15">
      <c r="A214" t="s">
        <v>17</v>
      </c>
      <c r="B214" s="1">
        <v>43152</v>
      </c>
      <c r="C214" t="s">
        <v>376</v>
      </c>
      <c r="D214" t="str">
        <f>CONCATENATE("0070013169","")</f>
        <v>0070013169</v>
      </c>
      <c r="E214" t="str">
        <f>CONCATENATE("0030201001296       ","")</f>
        <v>0030201001296       </v>
      </c>
      <c r="F214" t="str">
        <f>CONCATENATE("1938234","")</f>
        <v>1938234</v>
      </c>
      <c r="G214" t="s">
        <v>377</v>
      </c>
      <c r="H214" t="s">
        <v>418</v>
      </c>
      <c r="I214" t="s">
        <v>419</v>
      </c>
      <c r="J214" t="str">
        <f t="shared" si="20"/>
        <v>080302</v>
      </c>
      <c r="K214" t="s">
        <v>22</v>
      </c>
      <c r="L214" t="s">
        <v>23</v>
      </c>
      <c r="M214" t="str">
        <f t="shared" si="21"/>
        <v>1</v>
      </c>
      <c r="O214" t="str">
        <f>CONCATENATE("1 ","")</f>
        <v>1 </v>
      </c>
      <c r="P214">
        <v>37</v>
      </c>
      <c r="Q214" t="s">
        <v>24</v>
      </c>
    </row>
    <row r="215" spans="1:17" ht="15">
      <c r="A215" t="s">
        <v>17</v>
      </c>
      <c r="B215" s="1">
        <v>43152</v>
      </c>
      <c r="C215" t="s">
        <v>376</v>
      </c>
      <c r="D215" t="str">
        <f>CONCATENATE("0070018602","")</f>
        <v>0070018602</v>
      </c>
      <c r="E215" t="str">
        <f>CONCATENATE("0030202000020       ","")</f>
        <v>0030202000020       </v>
      </c>
      <c r="F215" t="str">
        <f>CONCATENATE("605741559","")</f>
        <v>605741559</v>
      </c>
      <c r="G215" t="s">
        <v>420</v>
      </c>
      <c r="H215" t="s">
        <v>421</v>
      </c>
      <c r="I215" t="s">
        <v>422</v>
      </c>
      <c r="J215" t="str">
        <f t="shared" si="20"/>
        <v>080302</v>
      </c>
      <c r="K215" t="s">
        <v>22</v>
      </c>
      <c r="L215" t="s">
        <v>23</v>
      </c>
      <c r="M215" t="str">
        <f t="shared" si="21"/>
        <v>1</v>
      </c>
      <c r="O215" t="str">
        <f>CONCATENATE("2 ","")</f>
        <v>2 </v>
      </c>
      <c r="P215">
        <v>63.35</v>
      </c>
      <c r="Q215" t="s">
        <v>24</v>
      </c>
    </row>
    <row r="216" spans="1:17" ht="15">
      <c r="A216" t="s">
        <v>17</v>
      </c>
      <c r="B216" s="1">
        <v>43152</v>
      </c>
      <c r="C216" t="s">
        <v>376</v>
      </c>
      <c r="D216" t="str">
        <f>CONCATENATE("0070015558","")</f>
        <v>0070015558</v>
      </c>
      <c r="E216" t="str">
        <f>CONCATENATE("0030202000390       ","")</f>
        <v>0030202000390       </v>
      </c>
      <c r="F216" t="str">
        <f>CONCATENATE("605158451","")</f>
        <v>605158451</v>
      </c>
      <c r="G216" t="s">
        <v>420</v>
      </c>
      <c r="H216" t="s">
        <v>423</v>
      </c>
      <c r="I216" t="s">
        <v>424</v>
      </c>
      <c r="J216" t="str">
        <f t="shared" si="20"/>
        <v>080302</v>
      </c>
      <c r="K216" t="s">
        <v>22</v>
      </c>
      <c r="L216" t="s">
        <v>23</v>
      </c>
      <c r="M216" t="str">
        <f t="shared" si="21"/>
        <v>1</v>
      </c>
      <c r="O216" t="str">
        <f>CONCATENATE("1 ","")</f>
        <v>1 </v>
      </c>
      <c r="P216">
        <v>40.95</v>
      </c>
      <c r="Q216" t="s">
        <v>24</v>
      </c>
    </row>
    <row r="217" spans="1:17" ht="15">
      <c r="A217" t="s">
        <v>17</v>
      </c>
      <c r="B217" s="1">
        <v>43152</v>
      </c>
      <c r="C217" t="s">
        <v>376</v>
      </c>
      <c r="D217" t="str">
        <f>CONCATENATE("0070010475","")</f>
        <v>0070010475</v>
      </c>
      <c r="E217" t="str">
        <f>CONCATENATE("0030204000140       ","")</f>
        <v>0030204000140       </v>
      </c>
      <c r="F217" t="str">
        <f>CONCATENATE("605938283","")</f>
        <v>605938283</v>
      </c>
      <c r="G217" t="s">
        <v>425</v>
      </c>
      <c r="H217" t="s">
        <v>426</v>
      </c>
      <c r="I217" t="s">
        <v>427</v>
      </c>
      <c r="J217" t="str">
        <f t="shared" si="20"/>
        <v>080302</v>
      </c>
      <c r="K217" t="s">
        <v>22</v>
      </c>
      <c r="L217" t="s">
        <v>23</v>
      </c>
      <c r="M217" t="str">
        <f t="shared" si="21"/>
        <v>1</v>
      </c>
      <c r="O217" t="str">
        <f>CONCATENATE("1 ","")</f>
        <v>1 </v>
      </c>
      <c r="P217">
        <v>10.55</v>
      </c>
      <c r="Q217" t="s">
        <v>24</v>
      </c>
    </row>
    <row r="218" spans="1:17" ht="15">
      <c r="A218" t="s">
        <v>17</v>
      </c>
      <c r="B218" s="1">
        <v>43152</v>
      </c>
      <c r="C218" t="s">
        <v>376</v>
      </c>
      <c r="D218" t="str">
        <f>CONCATENATE("0070027042","")</f>
        <v>0070027042</v>
      </c>
      <c r="E218" t="str">
        <f>CONCATENATE("0030204000150       ","")</f>
        <v>0030204000150       </v>
      </c>
      <c r="F218" t="str">
        <f>CONCATENATE("606898643","")</f>
        <v>606898643</v>
      </c>
      <c r="G218" t="s">
        <v>425</v>
      </c>
      <c r="H218" t="s">
        <v>428</v>
      </c>
      <c r="I218" t="s">
        <v>429</v>
      </c>
      <c r="J218" t="str">
        <f t="shared" si="20"/>
        <v>080302</v>
      </c>
      <c r="K218" t="s">
        <v>22</v>
      </c>
      <c r="L218" t="s">
        <v>23</v>
      </c>
      <c r="M218" t="str">
        <f t="shared" si="21"/>
        <v>1</v>
      </c>
      <c r="O218" t="str">
        <f>CONCATENATE("2 ","")</f>
        <v>2 </v>
      </c>
      <c r="P218">
        <v>32.75</v>
      </c>
      <c r="Q218" t="s">
        <v>24</v>
      </c>
    </row>
    <row r="219" spans="1:17" ht="15">
      <c r="A219" t="s">
        <v>17</v>
      </c>
      <c r="B219" s="1">
        <v>43152</v>
      </c>
      <c r="C219" t="s">
        <v>376</v>
      </c>
      <c r="D219" t="str">
        <f>CONCATENATE("0070016263","")</f>
        <v>0070016263</v>
      </c>
      <c r="E219" t="str">
        <f>CONCATENATE("0030205000075       ","")</f>
        <v>0030205000075       </v>
      </c>
      <c r="F219" t="str">
        <f>CONCATENATE("605279833","")</f>
        <v>605279833</v>
      </c>
      <c r="G219" t="s">
        <v>430</v>
      </c>
      <c r="H219" t="s">
        <v>431</v>
      </c>
      <c r="I219" t="s">
        <v>432</v>
      </c>
      <c r="J219" t="str">
        <f aca="true" t="shared" si="24" ref="J219:J250">CONCATENATE("080302","")</f>
        <v>080302</v>
      </c>
      <c r="K219" t="s">
        <v>22</v>
      </c>
      <c r="L219" t="s">
        <v>23</v>
      </c>
      <c r="M219" t="str">
        <f t="shared" si="21"/>
        <v>1</v>
      </c>
      <c r="O219" t="str">
        <f aca="true" t="shared" si="25" ref="O219:O227">CONCATENATE("1 ","")</f>
        <v>1 </v>
      </c>
      <c r="P219">
        <v>16.7</v>
      </c>
      <c r="Q219" t="s">
        <v>24</v>
      </c>
    </row>
    <row r="220" spans="1:17" ht="15">
      <c r="A220" t="s">
        <v>17</v>
      </c>
      <c r="B220" s="1">
        <v>43152</v>
      </c>
      <c r="C220" t="s">
        <v>376</v>
      </c>
      <c r="D220" t="str">
        <f>CONCATENATE("0070002340","")</f>
        <v>0070002340</v>
      </c>
      <c r="E220" t="str">
        <f>CONCATENATE("0030205000250       ","")</f>
        <v>0030205000250       </v>
      </c>
      <c r="F220" t="str">
        <f>CONCATENATE("605118728","")</f>
        <v>605118728</v>
      </c>
      <c r="G220" t="s">
        <v>430</v>
      </c>
      <c r="H220" t="s">
        <v>433</v>
      </c>
      <c r="I220" t="s">
        <v>434</v>
      </c>
      <c r="J220" t="str">
        <f t="shared" si="24"/>
        <v>080302</v>
      </c>
      <c r="K220" t="s">
        <v>22</v>
      </c>
      <c r="L220" t="s">
        <v>23</v>
      </c>
      <c r="M220" t="str">
        <f t="shared" si="21"/>
        <v>1</v>
      </c>
      <c r="O220" t="str">
        <f t="shared" si="25"/>
        <v>1 </v>
      </c>
      <c r="P220">
        <v>18.15</v>
      </c>
      <c r="Q220" t="s">
        <v>24</v>
      </c>
    </row>
    <row r="221" spans="1:17" ht="15">
      <c r="A221" t="s">
        <v>17</v>
      </c>
      <c r="B221" s="1">
        <v>43152</v>
      </c>
      <c r="C221" t="s">
        <v>376</v>
      </c>
      <c r="D221" t="str">
        <f>CONCATENATE("0070014656","")</f>
        <v>0070014656</v>
      </c>
      <c r="E221" t="str">
        <f>CONCATENATE("0030205000255       ","")</f>
        <v>0030205000255       </v>
      </c>
      <c r="F221" t="str">
        <f>CONCATENATE("606673078","")</f>
        <v>606673078</v>
      </c>
      <c r="G221" t="s">
        <v>430</v>
      </c>
      <c r="H221" t="s">
        <v>435</v>
      </c>
      <c r="I221" t="s">
        <v>436</v>
      </c>
      <c r="J221" t="str">
        <f t="shared" si="24"/>
        <v>080302</v>
      </c>
      <c r="K221" t="s">
        <v>22</v>
      </c>
      <c r="L221" t="s">
        <v>23</v>
      </c>
      <c r="M221" t="str">
        <f t="shared" si="21"/>
        <v>1</v>
      </c>
      <c r="O221" t="str">
        <f t="shared" si="25"/>
        <v>1 </v>
      </c>
      <c r="P221">
        <v>57.85</v>
      </c>
      <c r="Q221" t="s">
        <v>24</v>
      </c>
    </row>
    <row r="222" spans="1:17" ht="15">
      <c r="A222" t="s">
        <v>17</v>
      </c>
      <c r="B222" s="1">
        <v>43152</v>
      </c>
      <c r="C222" t="s">
        <v>376</v>
      </c>
      <c r="D222" t="str">
        <f>CONCATENATE("0070014547","")</f>
        <v>0070014547</v>
      </c>
      <c r="E222" t="str">
        <f>CONCATENATE("0030210000025       ","")</f>
        <v>0030210000025       </v>
      </c>
      <c r="F222" t="str">
        <f>CONCATENATE("606673063","")</f>
        <v>606673063</v>
      </c>
      <c r="G222" t="s">
        <v>437</v>
      </c>
      <c r="H222" t="s">
        <v>438</v>
      </c>
      <c r="I222" t="s">
        <v>439</v>
      </c>
      <c r="J222" t="str">
        <f t="shared" si="24"/>
        <v>080302</v>
      </c>
      <c r="K222" t="s">
        <v>22</v>
      </c>
      <c r="L222" t="s">
        <v>23</v>
      </c>
      <c r="M222" t="str">
        <f t="shared" si="21"/>
        <v>1</v>
      </c>
      <c r="O222" t="str">
        <f t="shared" si="25"/>
        <v>1 </v>
      </c>
      <c r="P222">
        <v>23</v>
      </c>
      <c r="Q222" t="s">
        <v>24</v>
      </c>
    </row>
    <row r="223" spans="1:17" ht="15">
      <c r="A223" t="s">
        <v>17</v>
      </c>
      <c r="B223" s="1">
        <v>43152</v>
      </c>
      <c r="C223" t="s">
        <v>376</v>
      </c>
      <c r="D223" t="str">
        <f>CONCATENATE("0070017947","")</f>
        <v>0070017947</v>
      </c>
      <c r="E223" t="str">
        <f>CONCATENATE("0030210000051       ","")</f>
        <v>0030210000051       </v>
      </c>
      <c r="F223" t="str">
        <f>CONCATENATE("605751159","")</f>
        <v>605751159</v>
      </c>
      <c r="G223" t="s">
        <v>437</v>
      </c>
      <c r="H223" t="s">
        <v>440</v>
      </c>
      <c r="I223" t="s">
        <v>441</v>
      </c>
      <c r="J223" t="str">
        <f t="shared" si="24"/>
        <v>080302</v>
      </c>
      <c r="K223" t="s">
        <v>22</v>
      </c>
      <c r="L223" t="s">
        <v>23</v>
      </c>
      <c r="M223" t="str">
        <f t="shared" si="21"/>
        <v>1</v>
      </c>
      <c r="O223" t="str">
        <f t="shared" si="25"/>
        <v>1 </v>
      </c>
      <c r="P223">
        <v>157.55</v>
      </c>
      <c r="Q223" t="s">
        <v>24</v>
      </c>
    </row>
    <row r="224" spans="1:17" ht="15">
      <c r="A224" t="s">
        <v>17</v>
      </c>
      <c r="B224" s="1">
        <v>43152</v>
      </c>
      <c r="C224" t="s">
        <v>376</v>
      </c>
      <c r="D224" t="str">
        <f>CONCATENATE("0070016624","")</f>
        <v>0070016624</v>
      </c>
      <c r="E224" t="str">
        <f>CONCATENATE("0030210000061       ","")</f>
        <v>0030210000061       </v>
      </c>
      <c r="F224" t="str">
        <f>CONCATENATE("606897709","")</f>
        <v>606897709</v>
      </c>
      <c r="G224" t="s">
        <v>437</v>
      </c>
      <c r="H224" t="s">
        <v>442</v>
      </c>
      <c r="I224" t="s">
        <v>443</v>
      </c>
      <c r="J224" t="str">
        <f t="shared" si="24"/>
        <v>080302</v>
      </c>
      <c r="K224" t="s">
        <v>22</v>
      </c>
      <c r="L224" t="s">
        <v>23</v>
      </c>
      <c r="M224" t="str">
        <f t="shared" si="21"/>
        <v>1</v>
      </c>
      <c r="O224" t="str">
        <f t="shared" si="25"/>
        <v>1 </v>
      </c>
      <c r="P224">
        <v>37.75</v>
      </c>
      <c r="Q224" t="s">
        <v>24</v>
      </c>
    </row>
    <row r="225" spans="1:17" ht="15">
      <c r="A225" t="s">
        <v>17</v>
      </c>
      <c r="B225" s="1">
        <v>43152</v>
      </c>
      <c r="C225" t="s">
        <v>376</v>
      </c>
      <c r="D225" t="str">
        <f>CONCATENATE("0070023952","")</f>
        <v>0070023952</v>
      </c>
      <c r="E225" t="str">
        <f>CONCATENATE("0030210000069       ","")</f>
        <v>0030210000069       </v>
      </c>
      <c r="F225" t="str">
        <f>CONCATENATE("1680041","")</f>
        <v>1680041</v>
      </c>
      <c r="G225" t="s">
        <v>437</v>
      </c>
      <c r="H225" t="s">
        <v>444</v>
      </c>
      <c r="I225" t="s">
        <v>445</v>
      </c>
      <c r="J225" t="str">
        <f t="shared" si="24"/>
        <v>080302</v>
      </c>
      <c r="K225" t="s">
        <v>22</v>
      </c>
      <c r="L225" t="s">
        <v>23</v>
      </c>
      <c r="M225" t="str">
        <f>CONCATENATE("3","")</f>
        <v>3</v>
      </c>
      <c r="O225" t="str">
        <f t="shared" si="25"/>
        <v>1 </v>
      </c>
      <c r="P225">
        <v>16.3</v>
      </c>
      <c r="Q225" t="s">
        <v>51</v>
      </c>
    </row>
    <row r="226" spans="1:17" ht="15">
      <c r="A226" t="s">
        <v>17</v>
      </c>
      <c r="B226" s="1">
        <v>43152</v>
      </c>
      <c r="C226" t="s">
        <v>376</v>
      </c>
      <c r="D226" t="str">
        <f>CONCATENATE("0070011282","")</f>
        <v>0070011282</v>
      </c>
      <c r="E226" t="str">
        <f>CONCATENATE("0030210000076       ","")</f>
        <v>0030210000076       </v>
      </c>
      <c r="F226" t="str">
        <f>CONCATENATE("605753981","")</f>
        <v>605753981</v>
      </c>
      <c r="G226" t="s">
        <v>437</v>
      </c>
      <c r="H226" t="s">
        <v>446</v>
      </c>
      <c r="I226" t="s">
        <v>447</v>
      </c>
      <c r="J226" t="str">
        <f t="shared" si="24"/>
        <v>080302</v>
      </c>
      <c r="K226" t="s">
        <v>22</v>
      </c>
      <c r="L226" t="s">
        <v>23</v>
      </c>
      <c r="M226" t="str">
        <f aca="true" t="shared" si="26" ref="M226:M255">CONCATENATE("1","")</f>
        <v>1</v>
      </c>
      <c r="O226" t="str">
        <f t="shared" si="25"/>
        <v>1 </v>
      </c>
      <c r="P226">
        <v>15.3</v>
      </c>
      <c r="Q226" t="s">
        <v>24</v>
      </c>
    </row>
    <row r="227" spans="1:17" ht="15">
      <c r="A227" t="s">
        <v>17</v>
      </c>
      <c r="B227" s="1">
        <v>43152</v>
      </c>
      <c r="C227" t="s">
        <v>376</v>
      </c>
      <c r="D227" t="str">
        <f>CONCATENATE("0070027087","")</f>
        <v>0070027087</v>
      </c>
      <c r="E227" t="str">
        <f>CONCATENATE("0030210000084       ","")</f>
        <v>0030210000084       </v>
      </c>
      <c r="F227" t="str">
        <f>CONCATENATE("606901570","")</f>
        <v>606901570</v>
      </c>
      <c r="G227" t="s">
        <v>437</v>
      </c>
      <c r="H227" t="s">
        <v>448</v>
      </c>
      <c r="I227" t="s">
        <v>449</v>
      </c>
      <c r="J227" t="str">
        <f t="shared" si="24"/>
        <v>080302</v>
      </c>
      <c r="K227" t="s">
        <v>22</v>
      </c>
      <c r="L227" t="s">
        <v>23</v>
      </c>
      <c r="M227" t="str">
        <f t="shared" si="26"/>
        <v>1</v>
      </c>
      <c r="O227" t="str">
        <f t="shared" si="25"/>
        <v>1 </v>
      </c>
      <c r="P227">
        <v>116.3</v>
      </c>
      <c r="Q227" t="s">
        <v>24</v>
      </c>
    </row>
    <row r="228" spans="1:17" ht="15">
      <c r="A228" t="s">
        <v>17</v>
      </c>
      <c r="B228" s="1">
        <v>43152</v>
      </c>
      <c r="C228" t="s">
        <v>376</v>
      </c>
      <c r="D228" t="str">
        <f>CONCATENATE("0070002390","")</f>
        <v>0070002390</v>
      </c>
      <c r="E228" t="str">
        <f>CONCATENATE("0030210000171       ","")</f>
        <v>0030210000171       </v>
      </c>
      <c r="F228" t="str">
        <f>CONCATENATE("606595610","")</f>
        <v>606595610</v>
      </c>
      <c r="G228" t="s">
        <v>450</v>
      </c>
      <c r="H228" t="s">
        <v>451</v>
      </c>
      <c r="I228" t="s">
        <v>439</v>
      </c>
      <c r="J228" t="str">
        <f t="shared" si="24"/>
        <v>080302</v>
      </c>
      <c r="K228" t="s">
        <v>22</v>
      </c>
      <c r="L228" t="s">
        <v>23</v>
      </c>
      <c r="M228" t="str">
        <f t="shared" si="26"/>
        <v>1</v>
      </c>
      <c r="O228" t="str">
        <f>CONCATENATE("2 ","")</f>
        <v>2 </v>
      </c>
      <c r="P228">
        <v>20.75</v>
      </c>
      <c r="Q228" t="s">
        <v>24</v>
      </c>
    </row>
    <row r="229" spans="1:17" ht="15">
      <c r="A229" t="s">
        <v>17</v>
      </c>
      <c r="B229" s="1">
        <v>43152</v>
      </c>
      <c r="C229" t="s">
        <v>376</v>
      </c>
      <c r="D229" t="str">
        <f>CONCATENATE("0070002391","")</f>
        <v>0070002391</v>
      </c>
      <c r="E229" t="str">
        <f>CONCATENATE("0030210000190       ","")</f>
        <v>0030210000190       </v>
      </c>
      <c r="F229" t="str">
        <f>CONCATENATE("607304607","")</f>
        <v>607304607</v>
      </c>
      <c r="G229" t="s">
        <v>437</v>
      </c>
      <c r="H229" t="s">
        <v>452</v>
      </c>
      <c r="I229" t="s">
        <v>439</v>
      </c>
      <c r="J229" t="str">
        <f t="shared" si="24"/>
        <v>080302</v>
      </c>
      <c r="K229" t="s">
        <v>22</v>
      </c>
      <c r="L229" t="s">
        <v>23</v>
      </c>
      <c r="M229" t="str">
        <f t="shared" si="26"/>
        <v>1</v>
      </c>
      <c r="O229" t="str">
        <f aca="true" t="shared" si="27" ref="O229:O235">CONCATENATE("1 ","")</f>
        <v>1 </v>
      </c>
      <c r="P229">
        <v>9.35</v>
      </c>
      <c r="Q229" t="s">
        <v>24</v>
      </c>
    </row>
    <row r="230" spans="1:17" ht="15">
      <c r="A230" t="s">
        <v>17</v>
      </c>
      <c r="B230" s="1">
        <v>43152</v>
      </c>
      <c r="C230" t="s">
        <v>376</v>
      </c>
      <c r="D230" t="str">
        <f>CONCATENATE("0070002396","")</f>
        <v>0070002396</v>
      </c>
      <c r="E230" t="str">
        <f>CONCATENATE("0030210000260       ","")</f>
        <v>0030210000260       </v>
      </c>
      <c r="F230" t="str">
        <f>CONCATENATE("605938297","")</f>
        <v>605938297</v>
      </c>
      <c r="G230" t="s">
        <v>437</v>
      </c>
      <c r="H230" t="s">
        <v>453</v>
      </c>
      <c r="I230" t="s">
        <v>439</v>
      </c>
      <c r="J230" t="str">
        <f t="shared" si="24"/>
        <v>080302</v>
      </c>
      <c r="K230" t="s">
        <v>22</v>
      </c>
      <c r="L230" t="s">
        <v>23</v>
      </c>
      <c r="M230" t="str">
        <f t="shared" si="26"/>
        <v>1</v>
      </c>
      <c r="O230" t="str">
        <f t="shared" si="27"/>
        <v>1 </v>
      </c>
      <c r="P230">
        <v>18.75</v>
      </c>
      <c r="Q230" t="s">
        <v>24</v>
      </c>
    </row>
    <row r="231" spans="1:17" ht="15">
      <c r="A231" t="s">
        <v>17</v>
      </c>
      <c r="B231" s="1">
        <v>43152</v>
      </c>
      <c r="C231" t="s">
        <v>376</v>
      </c>
      <c r="D231" t="str">
        <f>CONCATENATE("0070016470","")</f>
        <v>0070016470</v>
      </c>
      <c r="E231" t="str">
        <f>CONCATENATE("0030210000263       ","")</f>
        <v>0030210000263       </v>
      </c>
      <c r="F231" t="str">
        <f>CONCATENATE("606897700","")</f>
        <v>606897700</v>
      </c>
      <c r="G231" t="s">
        <v>437</v>
      </c>
      <c r="H231" t="s">
        <v>454</v>
      </c>
      <c r="I231" t="s">
        <v>455</v>
      </c>
      <c r="J231" t="str">
        <f t="shared" si="24"/>
        <v>080302</v>
      </c>
      <c r="K231" t="s">
        <v>22</v>
      </c>
      <c r="L231" t="s">
        <v>23</v>
      </c>
      <c r="M231" t="str">
        <f t="shared" si="26"/>
        <v>1</v>
      </c>
      <c r="O231" t="str">
        <f t="shared" si="27"/>
        <v>1 </v>
      </c>
      <c r="P231">
        <v>17.8</v>
      </c>
      <c r="Q231" t="s">
        <v>24</v>
      </c>
    </row>
    <row r="232" spans="1:17" ht="15">
      <c r="A232" t="s">
        <v>17</v>
      </c>
      <c r="B232" s="1">
        <v>43152</v>
      </c>
      <c r="C232" t="s">
        <v>376</v>
      </c>
      <c r="D232" t="str">
        <f>CONCATENATE("0070012060","")</f>
        <v>0070012060</v>
      </c>
      <c r="E232" t="str">
        <f>CONCATENATE("0030210000506       ","")</f>
        <v>0030210000506       </v>
      </c>
      <c r="F232" t="str">
        <f>CONCATENATE("605772015","")</f>
        <v>605772015</v>
      </c>
      <c r="G232" t="s">
        <v>377</v>
      </c>
      <c r="H232" t="s">
        <v>456</v>
      </c>
      <c r="I232" t="s">
        <v>376</v>
      </c>
      <c r="J232" t="str">
        <f t="shared" si="24"/>
        <v>080302</v>
      </c>
      <c r="K232" t="s">
        <v>22</v>
      </c>
      <c r="L232" t="s">
        <v>23</v>
      </c>
      <c r="M232" t="str">
        <f t="shared" si="26"/>
        <v>1</v>
      </c>
      <c r="O232" t="str">
        <f t="shared" si="27"/>
        <v>1 </v>
      </c>
      <c r="P232">
        <v>26.95</v>
      </c>
      <c r="Q232" t="s">
        <v>24</v>
      </c>
    </row>
    <row r="233" spans="1:17" ht="15">
      <c r="A233" t="s">
        <v>17</v>
      </c>
      <c r="B233" s="1">
        <v>43152</v>
      </c>
      <c r="C233" t="s">
        <v>376</v>
      </c>
      <c r="D233" t="str">
        <f>CONCATENATE("0070016717","")</f>
        <v>0070016717</v>
      </c>
      <c r="E233" t="str">
        <f>CONCATENATE("0030213000065       ","")</f>
        <v>0030213000065       </v>
      </c>
      <c r="F233" t="str">
        <f>CONCATENATE("605281349","")</f>
        <v>605281349</v>
      </c>
      <c r="G233" t="s">
        <v>457</v>
      </c>
      <c r="H233" t="s">
        <v>458</v>
      </c>
      <c r="I233" t="s">
        <v>459</v>
      </c>
      <c r="J233" t="str">
        <f t="shared" si="24"/>
        <v>080302</v>
      </c>
      <c r="K233" t="s">
        <v>22</v>
      </c>
      <c r="L233" t="s">
        <v>23</v>
      </c>
      <c r="M233" t="str">
        <f t="shared" si="26"/>
        <v>1</v>
      </c>
      <c r="O233" t="str">
        <f t="shared" si="27"/>
        <v>1 </v>
      </c>
      <c r="P233">
        <v>32.8</v>
      </c>
      <c r="Q233" t="s">
        <v>24</v>
      </c>
    </row>
    <row r="234" spans="1:17" ht="15">
      <c r="A234" t="s">
        <v>17</v>
      </c>
      <c r="B234" s="1">
        <v>43152</v>
      </c>
      <c r="C234" t="s">
        <v>376</v>
      </c>
      <c r="D234" t="str">
        <f>CONCATENATE("0070014254","")</f>
        <v>0070014254</v>
      </c>
      <c r="E234" t="str">
        <f>CONCATENATE("0030213000442       ","")</f>
        <v>0030213000442       </v>
      </c>
      <c r="F234" t="str">
        <f>CONCATENATE("606665520","")</f>
        <v>606665520</v>
      </c>
      <c r="G234" t="s">
        <v>460</v>
      </c>
      <c r="H234" t="s">
        <v>461</v>
      </c>
      <c r="I234" t="s">
        <v>462</v>
      </c>
      <c r="J234" t="str">
        <f t="shared" si="24"/>
        <v>080302</v>
      </c>
      <c r="K234" t="s">
        <v>22</v>
      </c>
      <c r="L234" t="s">
        <v>23</v>
      </c>
      <c r="M234" t="str">
        <f t="shared" si="26"/>
        <v>1</v>
      </c>
      <c r="O234" t="str">
        <f t="shared" si="27"/>
        <v>1 </v>
      </c>
      <c r="P234">
        <v>23.05</v>
      </c>
      <c r="Q234" t="s">
        <v>24</v>
      </c>
    </row>
    <row r="235" spans="1:17" ht="15">
      <c r="A235" t="s">
        <v>17</v>
      </c>
      <c r="B235" s="1">
        <v>43152</v>
      </c>
      <c r="C235" t="s">
        <v>376</v>
      </c>
      <c r="D235" t="str">
        <f>CONCATENATE("0070014221","")</f>
        <v>0070014221</v>
      </c>
      <c r="E235" t="str">
        <f>CONCATENATE("0030214000290       ","")</f>
        <v>0030214000290       </v>
      </c>
      <c r="F235" t="str">
        <f>CONCATENATE("606665507","")</f>
        <v>606665507</v>
      </c>
      <c r="G235" t="s">
        <v>463</v>
      </c>
      <c r="H235" t="s">
        <v>464</v>
      </c>
      <c r="I235" t="s">
        <v>465</v>
      </c>
      <c r="J235" t="str">
        <f t="shared" si="24"/>
        <v>080302</v>
      </c>
      <c r="K235" t="s">
        <v>22</v>
      </c>
      <c r="L235" t="s">
        <v>23</v>
      </c>
      <c r="M235" t="str">
        <f t="shared" si="26"/>
        <v>1</v>
      </c>
      <c r="O235" t="str">
        <f t="shared" si="27"/>
        <v>1 </v>
      </c>
      <c r="P235">
        <v>38.6</v>
      </c>
      <c r="Q235" t="s">
        <v>24</v>
      </c>
    </row>
    <row r="236" spans="1:17" ht="15">
      <c r="A236" t="s">
        <v>17</v>
      </c>
      <c r="B236" s="1">
        <v>43152</v>
      </c>
      <c r="C236" t="s">
        <v>376</v>
      </c>
      <c r="D236" t="str">
        <f>CONCATENATE("0070014224","")</f>
        <v>0070014224</v>
      </c>
      <c r="E236" t="str">
        <f>CONCATENATE("0030214000330       ","")</f>
        <v>0030214000330       </v>
      </c>
      <c r="F236" t="str">
        <f>CONCATENATE("2186196","")</f>
        <v>2186196</v>
      </c>
      <c r="G236" t="s">
        <v>463</v>
      </c>
      <c r="H236" t="s">
        <v>466</v>
      </c>
      <c r="I236" t="s">
        <v>467</v>
      </c>
      <c r="J236" t="str">
        <f t="shared" si="24"/>
        <v>080302</v>
      </c>
      <c r="K236" t="s">
        <v>22</v>
      </c>
      <c r="L236" t="s">
        <v>23</v>
      </c>
      <c r="M236" t="str">
        <f t="shared" si="26"/>
        <v>1</v>
      </c>
      <c r="O236" t="str">
        <f>CONCATENATE("2 ","")</f>
        <v>2 </v>
      </c>
      <c r="P236">
        <v>26.7</v>
      </c>
      <c r="Q236" t="s">
        <v>24</v>
      </c>
    </row>
    <row r="237" spans="1:17" ht="15">
      <c r="A237" t="s">
        <v>17</v>
      </c>
      <c r="B237" s="1">
        <v>43152</v>
      </c>
      <c r="C237" t="s">
        <v>376</v>
      </c>
      <c r="D237" t="str">
        <f>CONCATENATE("0070019067","")</f>
        <v>0070019067</v>
      </c>
      <c r="E237" t="str">
        <f>CONCATENATE("0030214000340       ","")</f>
        <v>0030214000340       </v>
      </c>
      <c r="F237" t="str">
        <f>CONCATENATE("1931391","")</f>
        <v>1931391</v>
      </c>
      <c r="G237" t="s">
        <v>463</v>
      </c>
      <c r="H237" t="s">
        <v>468</v>
      </c>
      <c r="I237" t="s">
        <v>469</v>
      </c>
      <c r="J237" t="str">
        <f t="shared" si="24"/>
        <v>080302</v>
      </c>
      <c r="K237" t="s">
        <v>22</v>
      </c>
      <c r="L237" t="s">
        <v>23</v>
      </c>
      <c r="M237" t="str">
        <f t="shared" si="26"/>
        <v>1</v>
      </c>
      <c r="O237" t="str">
        <f aca="true" t="shared" si="28" ref="O237:O243">CONCATENATE("1 ","")</f>
        <v>1 </v>
      </c>
      <c r="P237">
        <v>15.85</v>
      </c>
      <c r="Q237" t="s">
        <v>24</v>
      </c>
    </row>
    <row r="238" spans="1:17" ht="15">
      <c r="A238" t="s">
        <v>17</v>
      </c>
      <c r="B238" s="1">
        <v>43152</v>
      </c>
      <c r="C238" t="s">
        <v>376</v>
      </c>
      <c r="D238" t="str">
        <f>CONCATENATE("0070002408","")</f>
        <v>0070002408</v>
      </c>
      <c r="E238" t="str">
        <f>CONCATENATE("0030215000015       ","")</f>
        <v>0030215000015       </v>
      </c>
      <c r="F238" t="str">
        <f>CONCATENATE("605284713","")</f>
        <v>605284713</v>
      </c>
      <c r="G238" t="s">
        <v>470</v>
      </c>
      <c r="H238" t="s">
        <v>471</v>
      </c>
      <c r="I238" t="s">
        <v>472</v>
      </c>
      <c r="J238" t="str">
        <f t="shared" si="24"/>
        <v>080302</v>
      </c>
      <c r="K238" t="s">
        <v>22</v>
      </c>
      <c r="L238" t="s">
        <v>23</v>
      </c>
      <c r="M238" t="str">
        <f t="shared" si="26"/>
        <v>1</v>
      </c>
      <c r="O238" t="str">
        <f t="shared" si="28"/>
        <v>1 </v>
      </c>
      <c r="P238">
        <v>11.6</v>
      </c>
      <c r="Q238" t="s">
        <v>24</v>
      </c>
    </row>
    <row r="239" spans="1:17" ht="15">
      <c r="A239" t="s">
        <v>17</v>
      </c>
      <c r="B239" s="1">
        <v>43152</v>
      </c>
      <c r="C239" t="s">
        <v>376</v>
      </c>
      <c r="D239" t="str">
        <f>CONCATENATE("0070002420","")</f>
        <v>0070002420</v>
      </c>
      <c r="E239" t="str">
        <f>CONCATENATE("0030215000125       ","")</f>
        <v>0030215000125       </v>
      </c>
      <c r="F239" t="str">
        <f>CONCATENATE("1942212","")</f>
        <v>1942212</v>
      </c>
      <c r="G239" t="s">
        <v>470</v>
      </c>
      <c r="H239" t="s">
        <v>473</v>
      </c>
      <c r="I239" t="s">
        <v>474</v>
      </c>
      <c r="J239" t="str">
        <f t="shared" si="24"/>
        <v>080302</v>
      </c>
      <c r="K239" t="s">
        <v>22</v>
      </c>
      <c r="L239" t="s">
        <v>23</v>
      </c>
      <c r="M239" t="str">
        <f t="shared" si="26"/>
        <v>1</v>
      </c>
      <c r="O239" t="str">
        <f t="shared" si="28"/>
        <v>1 </v>
      </c>
      <c r="P239">
        <v>20.65</v>
      </c>
      <c r="Q239" t="s">
        <v>24</v>
      </c>
    </row>
    <row r="240" spans="1:17" ht="15">
      <c r="A240" t="s">
        <v>17</v>
      </c>
      <c r="B240" s="1">
        <v>43152</v>
      </c>
      <c r="C240" t="s">
        <v>376</v>
      </c>
      <c r="D240" t="str">
        <f>CONCATENATE("0070002425","")</f>
        <v>0070002425</v>
      </c>
      <c r="E240" t="str">
        <f>CONCATENATE("0030215000170       ","")</f>
        <v>0030215000170       </v>
      </c>
      <c r="F240" t="str">
        <f>CONCATENATE("605282847","")</f>
        <v>605282847</v>
      </c>
      <c r="G240" t="s">
        <v>470</v>
      </c>
      <c r="H240" t="s">
        <v>475</v>
      </c>
      <c r="I240" t="s">
        <v>476</v>
      </c>
      <c r="J240" t="str">
        <f t="shared" si="24"/>
        <v>080302</v>
      </c>
      <c r="K240" t="s">
        <v>22</v>
      </c>
      <c r="L240" t="s">
        <v>23</v>
      </c>
      <c r="M240" t="str">
        <f t="shared" si="26"/>
        <v>1</v>
      </c>
      <c r="O240" t="str">
        <f t="shared" si="28"/>
        <v>1 </v>
      </c>
      <c r="P240">
        <v>17.95</v>
      </c>
      <c r="Q240" t="s">
        <v>24</v>
      </c>
    </row>
    <row r="241" spans="1:17" ht="15">
      <c r="A241" t="s">
        <v>17</v>
      </c>
      <c r="B241" s="1">
        <v>43152</v>
      </c>
      <c r="C241" t="s">
        <v>376</v>
      </c>
      <c r="D241" t="str">
        <f>CONCATENATE("0070014168","")</f>
        <v>0070014168</v>
      </c>
      <c r="E241" t="str">
        <f>CONCATENATE("0030216000180       ","")</f>
        <v>0030216000180       </v>
      </c>
      <c r="F241" t="str">
        <f>CONCATENATE("2186189","")</f>
        <v>2186189</v>
      </c>
      <c r="G241" t="s">
        <v>477</v>
      </c>
      <c r="H241" t="s">
        <v>478</v>
      </c>
      <c r="I241" t="s">
        <v>479</v>
      </c>
      <c r="J241" t="str">
        <f t="shared" si="24"/>
        <v>080302</v>
      </c>
      <c r="K241" t="s">
        <v>22</v>
      </c>
      <c r="L241" t="s">
        <v>23</v>
      </c>
      <c r="M241" t="str">
        <f t="shared" si="26"/>
        <v>1</v>
      </c>
      <c r="O241" t="str">
        <f t="shared" si="28"/>
        <v>1 </v>
      </c>
      <c r="P241">
        <v>20.2</v>
      </c>
      <c r="Q241" t="s">
        <v>24</v>
      </c>
    </row>
    <row r="242" spans="1:17" ht="15">
      <c r="A242" t="s">
        <v>17</v>
      </c>
      <c r="B242" s="1">
        <v>43152</v>
      </c>
      <c r="C242" t="s">
        <v>376</v>
      </c>
      <c r="D242" t="str">
        <f>CONCATENATE("0070002495","")</f>
        <v>0070002495</v>
      </c>
      <c r="E242" t="str">
        <f>CONCATENATE("0030217000070       ","")</f>
        <v>0030217000070       </v>
      </c>
      <c r="F242" t="str">
        <f>CONCATENATE("605291428","")</f>
        <v>605291428</v>
      </c>
      <c r="G242" t="s">
        <v>480</v>
      </c>
      <c r="H242" t="s">
        <v>481</v>
      </c>
      <c r="I242" t="s">
        <v>482</v>
      </c>
      <c r="J242" t="str">
        <f t="shared" si="24"/>
        <v>080302</v>
      </c>
      <c r="K242" t="s">
        <v>22</v>
      </c>
      <c r="L242" t="s">
        <v>23</v>
      </c>
      <c r="M242" t="str">
        <f t="shared" si="26"/>
        <v>1</v>
      </c>
      <c r="O242" t="str">
        <f t="shared" si="28"/>
        <v>1 </v>
      </c>
      <c r="P242">
        <v>50.1</v>
      </c>
      <c r="Q242" t="s">
        <v>24</v>
      </c>
    </row>
    <row r="243" spans="1:17" ht="15">
      <c r="A243" t="s">
        <v>17</v>
      </c>
      <c r="B243" s="1">
        <v>43152</v>
      </c>
      <c r="C243" t="s">
        <v>376</v>
      </c>
      <c r="D243" t="str">
        <f>CONCATENATE("0070002508","")</f>
        <v>0070002508</v>
      </c>
      <c r="E243" t="str">
        <f>CONCATENATE("0030217000220       ","")</f>
        <v>0030217000220       </v>
      </c>
      <c r="F243" t="str">
        <f>CONCATENATE("605291418","")</f>
        <v>605291418</v>
      </c>
      <c r="G243" t="s">
        <v>480</v>
      </c>
      <c r="H243" t="s">
        <v>483</v>
      </c>
      <c r="I243" t="s">
        <v>482</v>
      </c>
      <c r="J243" t="str">
        <f t="shared" si="24"/>
        <v>080302</v>
      </c>
      <c r="K243" t="s">
        <v>22</v>
      </c>
      <c r="L243" t="s">
        <v>23</v>
      </c>
      <c r="M243" t="str">
        <f t="shared" si="26"/>
        <v>1</v>
      </c>
      <c r="O243" t="str">
        <f t="shared" si="28"/>
        <v>1 </v>
      </c>
      <c r="P243">
        <v>26.45</v>
      </c>
      <c r="Q243" t="s">
        <v>24</v>
      </c>
    </row>
    <row r="244" spans="1:17" ht="15">
      <c r="A244" t="s">
        <v>17</v>
      </c>
      <c r="B244" s="1">
        <v>43152</v>
      </c>
      <c r="C244" t="s">
        <v>376</v>
      </c>
      <c r="D244" t="str">
        <f>CONCATENATE("0070022651","")</f>
        <v>0070022651</v>
      </c>
      <c r="E244" t="str">
        <f>CONCATENATE("0030218000062       ","")</f>
        <v>0030218000062       </v>
      </c>
      <c r="F244" t="str">
        <f>CONCATENATE("2128244","")</f>
        <v>2128244</v>
      </c>
      <c r="G244" t="s">
        <v>484</v>
      </c>
      <c r="H244" t="s">
        <v>485</v>
      </c>
      <c r="I244" t="s">
        <v>486</v>
      </c>
      <c r="J244" t="str">
        <f t="shared" si="24"/>
        <v>080302</v>
      </c>
      <c r="K244" t="s">
        <v>22</v>
      </c>
      <c r="L244" t="s">
        <v>23</v>
      </c>
      <c r="M244" t="str">
        <f t="shared" si="26"/>
        <v>1</v>
      </c>
      <c r="O244" t="str">
        <f>CONCATENATE("2 ","")</f>
        <v>2 </v>
      </c>
      <c r="P244">
        <v>47.35</v>
      </c>
      <c r="Q244" t="s">
        <v>24</v>
      </c>
    </row>
    <row r="245" spans="1:17" ht="15">
      <c r="A245" t="s">
        <v>17</v>
      </c>
      <c r="B245" s="1">
        <v>43152</v>
      </c>
      <c r="C245" t="s">
        <v>376</v>
      </c>
      <c r="D245" t="str">
        <f>CONCATENATE("0070011708","")</f>
        <v>0070011708</v>
      </c>
      <c r="E245" t="str">
        <f>CONCATENATE("0030218000123       ","")</f>
        <v>0030218000123       </v>
      </c>
      <c r="F245" t="str">
        <f>CONCATENATE("605771995","")</f>
        <v>605771995</v>
      </c>
      <c r="G245" t="s">
        <v>484</v>
      </c>
      <c r="H245" t="s">
        <v>487</v>
      </c>
      <c r="I245" t="s">
        <v>488</v>
      </c>
      <c r="J245" t="str">
        <f t="shared" si="24"/>
        <v>080302</v>
      </c>
      <c r="K245" t="s">
        <v>22</v>
      </c>
      <c r="L245" t="s">
        <v>23</v>
      </c>
      <c r="M245" t="str">
        <f t="shared" si="26"/>
        <v>1</v>
      </c>
      <c r="O245" t="str">
        <f>CONCATENATE("1 ","")</f>
        <v>1 </v>
      </c>
      <c r="P245">
        <v>114.7</v>
      </c>
      <c r="Q245" t="s">
        <v>24</v>
      </c>
    </row>
    <row r="246" spans="1:17" ht="15">
      <c r="A246" t="s">
        <v>17</v>
      </c>
      <c r="B246" s="1">
        <v>43152</v>
      </c>
      <c r="C246" t="s">
        <v>376</v>
      </c>
      <c r="D246" t="str">
        <f>CONCATENATE("0070011361","")</f>
        <v>0070011361</v>
      </c>
      <c r="E246" t="str">
        <f>CONCATENATE("0030218000124       ","")</f>
        <v>0030218000124       </v>
      </c>
      <c r="F246" t="str">
        <f>CONCATENATE("606903425","")</f>
        <v>606903425</v>
      </c>
      <c r="G246" t="s">
        <v>484</v>
      </c>
      <c r="H246" t="s">
        <v>489</v>
      </c>
      <c r="I246" t="s">
        <v>490</v>
      </c>
      <c r="J246" t="str">
        <f t="shared" si="24"/>
        <v>080302</v>
      </c>
      <c r="K246" t="s">
        <v>22</v>
      </c>
      <c r="L246" t="s">
        <v>23</v>
      </c>
      <c r="M246" t="str">
        <f t="shared" si="26"/>
        <v>1</v>
      </c>
      <c r="O246" t="str">
        <f>CONCATENATE("1 ","")</f>
        <v>1 </v>
      </c>
      <c r="P246">
        <v>18.4</v>
      </c>
      <c r="Q246" t="s">
        <v>24</v>
      </c>
    </row>
    <row r="247" spans="1:17" ht="15">
      <c r="A247" t="s">
        <v>17</v>
      </c>
      <c r="B247" s="1">
        <v>43152</v>
      </c>
      <c r="C247" t="s">
        <v>376</v>
      </c>
      <c r="D247" t="str">
        <f>CONCATENATE("0070010425","")</f>
        <v>0070010425</v>
      </c>
      <c r="E247" t="str">
        <f>CONCATENATE("0030219000300       ","")</f>
        <v>0030219000300       </v>
      </c>
      <c r="F247" t="str">
        <f>CONCATENATE("605292638","")</f>
        <v>605292638</v>
      </c>
      <c r="G247" t="s">
        <v>491</v>
      </c>
      <c r="H247" t="s">
        <v>492</v>
      </c>
      <c r="I247" t="s">
        <v>493</v>
      </c>
      <c r="J247" t="str">
        <f t="shared" si="24"/>
        <v>080302</v>
      </c>
      <c r="K247" t="s">
        <v>22</v>
      </c>
      <c r="L247" t="s">
        <v>23</v>
      </c>
      <c r="M247" t="str">
        <f t="shared" si="26"/>
        <v>1</v>
      </c>
      <c r="O247" t="str">
        <f>CONCATENATE("1 ","")</f>
        <v>1 </v>
      </c>
      <c r="P247">
        <v>12.35</v>
      </c>
      <c r="Q247" t="s">
        <v>24</v>
      </c>
    </row>
    <row r="248" spans="1:17" ht="15">
      <c r="A248" t="s">
        <v>17</v>
      </c>
      <c r="B248" s="1">
        <v>43152</v>
      </c>
      <c r="C248" t="s">
        <v>376</v>
      </c>
      <c r="D248" t="str">
        <f>CONCATENATE("0070010427","")</f>
        <v>0070010427</v>
      </c>
      <c r="E248" t="str">
        <f>CONCATENATE("0030219000340       ","")</f>
        <v>0030219000340       </v>
      </c>
      <c r="F248" t="str">
        <f>CONCATENATE("605292627","")</f>
        <v>605292627</v>
      </c>
      <c r="G248" t="s">
        <v>491</v>
      </c>
      <c r="H248" t="s">
        <v>494</v>
      </c>
      <c r="I248" t="s">
        <v>493</v>
      </c>
      <c r="J248" t="str">
        <f t="shared" si="24"/>
        <v>080302</v>
      </c>
      <c r="K248" t="s">
        <v>22</v>
      </c>
      <c r="L248" t="s">
        <v>23</v>
      </c>
      <c r="M248" t="str">
        <f t="shared" si="26"/>
        <v>1</v>
      </c>
      <c r="O248" t="str">
        <f>CONCATENATE("1 ","")</f>
        <v>1 </v>
      </c>
      <c r="P248">
        <v>12.6</v>
      </c>
      <c r="Q248" t="s">
        <v>24</v>
      </c>
    </row>
    <row r="249" spans="1:17" ht="15">
      <c r="A249" t="s">
        <v>17</v>
      </c>
      <c r="B249" s="1">
        <v>43152</v>
      </c>
      <c r="C249" t="s">
        <v>376</v>
      </c>
      <c r="D249" t="str">
        <f>CONCATENATE("0070010439","")</f>
        <v>0070010439</v>
      </c>
      <c r="E249" t="str">
        <f>CONCATENATE("0030219001020       ","")</f>
        <v>0030219001020       </v>
      </c>
      <c r="F249" t="str">
        <f>CONCATENATE("606087182","")</f>
        <v>606087182</v>
      </c>
      <c r="G249" t="s">
        <v>491</v>
      </c>
      <c r="H249" t="s">
        <v>495</v>
      </c>
      <c r="I249" t="s">
        <v>496</v>
      </c>
      <c r="J249" t="str">
        <f t="shared" si="24"/>
        <v>080302</v>
      </c>
      <c r="K249" t="s">
        <v>22</v>
      </c>
      <c r="L249" t="s">
        <v>23</v>
      </c>
      <c r="M249" t="str">
        <f t="shared" si="26"/>
        <v>1</v>
      </c>
      <c r="O249" t="str">
        <f>CONCATENATE("2 ","")</f>
        <v>2 </v>
      </c>
      <c r="P249">
        <v>17.75</v>
      </c>
      <c r="Q249" t="s">
        <v>24</v>
      </c>
    </row>
    <row r="250" spans="1:17" ht="15">
      <c r="A250" t="s">
        <v>17</v>
      </c>
      <c r="B250" s="1">
        <v>43152</v>
      </c>
      <c r="C250" t="s">
        <v>376</v>
      </c>
      <c r="D250" t="str">
        <f>CONCATENATE("0070010444","")</f>
        <v>0070010444</v>
      </c>
      <c r="E250" t="str">
        <f>CONCATENATE("0030219001120       ","")</f>
        <v>0030219001120       </v>
      </c>
      <c r="F250" t="str">
        <f>CONCATENATE("605293535","")</f>
        <v>605293535</v>
      </c>
      <c r="G250" t="s">
        <v>497</v>
      </c>
      <c r="H250" t="s">
        <v>498</v>
      </c>
      <c r="I250" t="s">
        <v>493</v>
      </c>
      <c r="J250" t="str">
        <f t="shared" si="24"/>
        <v>080302</v>
      </c>
      <c r="K250" t="s">
        <v>22</v>
      </c>
      <c r="L250" t="s">
        <v>23</v>
      </c>
      <c r="M250" t="str">
        <f t="shared" si="26"/>
        <v>1</v>
      </c>
      <c r="O250" t="str">
        <f>CONCATENATE("1 ","")</f>
        <v>1 </v>
      </c>
      <c r="P250">
        <v>8</v>
      </c>
      <c r="Q250" t="s">
        <v>24</v>
      </c>
    </row>
    <row r="251" spans="1:17" ht="15">
      <c r="A251" t="s">
        <v>17</v>
      </c>
      <c r="B251" s="1">
        <v>43152</v>
      </c>
      <c r="C251" t="s">
        <v>376</v>
      </c>
      <c r="D251" t="str">
        <f>CONCATENATE("0070010473","")</f>
        <v>0070010473</v>
      </c>
      <c r="E251" t="str">
        <f>CONCATENATE("0030219002340       ","")</f>
        <v>0030219002340       </v>
      </c>
      <c r="F251" t="str">
        <f>CONCATENATE("605772621","")</f>
        <v>605772621</v>
      </c>
      <c r="G251" t="s">
        <v>499</v>
      </c>
      <c r="H251" t="s">
        <v>500</v>
      </c>
      <c r="I251" t="s">
        <v>496</v>
      </c>
      <c r="J251" t="str">
        <f aca="true" t="shared" si="29" ref="J251:J258">CONCATENATE("080302","")</f>
        <v>080302</v>
      </c>
      <c r="K251" t="s">
        <v>22</v>
      </c>
      <c r="L251" t="s">
        <v>23</v>
      </c>
      <c r="M251" t="str">
        <f t="shared" si="26"/>
        <v>1</v>
      </c>
      <c r="O251" t="str">
        <f>CONCATENATE("1 ","")</f>
        <v>1 </v>
      </c>
      <c r="P251">
        <v>11.75</v>
      </c>
      <c r="Q251" t="s">
        <v>24</v>
      </c>
    </row>
    <row r="252" spans="1:17" ht="15">
      <c r="A252" t="s">
        <v>17</v>
      </c>
      <c r="B252" s="1">
        <v>43152</v>
      </c>
      <c r="C252" t="s">
        <v>376</v>
      </c>
      <c r="D252" t="str">
        <f>CONCATENATE("0070015592","")</f>
        <v>0070015592</v>
      </c>
      <c r="E252" t="str">
        <f>CONCATENATE("0030220000025       ","")</f>
        <v>0030220000025       </v>
      </c>
      <c r="F252" t="str">
        <f>CONCATENATE("607294359","")</f>
        <v>607294359</v>
      </c>
      <c r="G252" t="s">
        <v>501</v>
      </c>
      <c r="H252" t="s">
        <v>502</v>
      </c>
      <c r="I252" t="s">
        <v>503</v>
      </c>
      <c r="J252" t="str">
        <f t="shared" si="29"/>
        <v>080302</v>
      </c>
      <c r="K252" t="s">
        <v>22</v>
      </c>
      <c r="L252" t="s">
        <v>23</v>
      </c>
      <c r="M252" t="str">
        <f t="shared" si="26"/>
        <v>1</v>
      </c>
      <c r="O252" t="str">
        <f>CONCATENATE("1 ","")</f>
        <v>1 </v>
      </c>
      <c r="P252">
        <v>8.65</v>
      </c>
      <c r="Q252" t="s">
        <v>24</v>
      </c>
    </row>
    <row r="253" spans="1:17" ht="15">
      <c r="A253" t="s">
        <v>17</v>
      </c>
      <c r="B253" s="1">
        <v>43152</v>
      </c>
      <c r="C253" t="s">
        <v>376</v>
      </c>
      <c r="D253" t="str">
        <f>CONCATENATE("0070014098","")</f>
        <v>0070014098</v>
      </c>
      <c r="E253" t="str">
        <f>CONCATENATE("0030220000085       ","")</f>
        <v>0030220000085       </v>
      </c>
      <c r="F253" t="str">
        <f>CONCATENATE("606664070","")</f>
        <v>606664070</v>
      </c>
      <c r="G253" t="s">
        <v>501</v>
      </c>
      <c r="H253" t="s">
        <v>504</v>
      </c>
      <c r="I253" t="s">
        <v>505</v>
      </c>
      <c r="J253" t="str">
        <f t="shared" si="29"/>
        <v>080302</v>
      </c>
      <c r="K253" t="s">
        <v>22</v>
      </c>
      <c r="L253" t="s">
        <v>23</v>
      </c>
      <c r="M253" t="str">
        <f t="shared" si="26"/>
        <v>1</v>
      </c>
      <c r="O253" t="str">
        <f>CONCATENATE("1 ","")</f>
        <v>1 </v>
      </c>
      <c r="P253">
        <v>14.45</v>
      </c>
      <c r="Q253" t="s">
        <v>24</v>
      </c>
    </row>
    <row r="254" spans="1:17" ht="15">
      <c r="A254" t="s">
        <v>17</v>
      </c>
      <c r="B254" s="1">
        <v>43152</v>
      </c>
      <c r="C254" t="s">
        <v>376</v>
      </c>
      <c r="D254" t="str">
        <f>CONCATENATE("0070002571","")</f>
        <v>0070002571</v>
      </c>
      <c r="E254" t="str">
        <f>CONCATENATE("0030220000180       ","")</f>
        <v>0030220000180       </v>
      </c>
      <c r="F254" t="str">
        <f>CONCATENATE("605117401","")</f>
        <v>605117401</v>
      </c>
      <c r="G254" t="s">
        <v>506</v>
      </c>
      <c r="H254" t="s">
        <v>507</v>
      </c>
      <c r="I254" t="s">
        <v>508</v>
      </c>
      <c r="J254" t="str">
        <f t="shared" si="29"/>
        <v>080302</v>
      </c>
      <c r="K254" t="s">
        <v>22</v>
      </c>
      <c r="L254" t="s">
        <v>23</v>
      </c>
      <c r="M254" t="str">
        <f t="shared" si="26"/>
        <v>1</v>
      </c>
      <c r="O254" t="str">
        <f>CONCATENATE("3 ","")</f>
        <v>3 </v>
      </c>
      <c r="P254">
        <v>29.05</v>
      </c>
      <c r="Q254" t="s">
        <v>24</v>
      </c>
    </row>
    <row r="255" spans="1:17" ht="15">
      <c r="A255" t="s">
        <v>17</v>
      </c>
      <c r="B255" s="1">
        <v>43152</v>
      </c>
      <c r="C255" t="s">
        <v>376</v>
      </c>
      <c r="D255" t="str">
        <f>CONCATENATE("0070002584","")</f>
        <v>0070002584</v>
      </c>
      <c r="E255" t="str">
        <f>CONCATENATE("0030220000199       ","")</f>
        <v>0030220000199       </v>
      </c>
      <c r="F255" t="str">
        <f>CONCATENATE("605117397","")</f>
        <v>605117397</v>
      </c>
      <c r="G255" t="s">
        <v>506</v>
      </c>
      <c r="H255" t="s">
        <v>509</v>
      </c>
      <c r="I255" t="s">
        <v>510</v>
      </c>
      <c r="J255" t="str">
        <f t="shared" si="29"/>
        <v>080302</v>
      </c>
      <c r="K255" t="s">
        <v>22</v>
      </c>
      <c r="L255" t="s">
        <v>23</v>
      </c>
      <c r="M255" t="str">
        <f t="shared" si="26"/>
        <v>1</v>
      </c>
      <c r="O255" t="str">
        <f>CONCATENATE("1 ","")</f>
        <v>1 </v>
      </c>
      <c r="P255">
        <v>92.3</v>
      </c>
      <c r="Q255" t="s">
        <v>24</v>
      </c>
    </row>
    <row r="256" spans="1:17" ht="15">
      <c r="A256" t="s">
        <v>17</v>
      </c>
      <c r="B256" s="1">
        <v>43152</v>
      </c>
      <c r="C256" t="s">
        <v>376</v>
      </c>
      <c r="D256" t="str">
        <f>CONCATENATE("0070010135","")</f>
        <v>0070010135</v>
      </c>
      <c r="E256" t="str">
        <f>CONCATENATE("0030220000245       ","")</f>
        <v>0030220000245       </v>
      </c>
      <c r="F256" t="str">
        <f>CONCATENATE("01415945","")</f>
        <v>01415945</v>
      </c>
      <c r="G256" t="s">
        <v>501</v>
      </c>
      <c r="H256" t="s">
        <v>511</v>
      </c>
      <c r="I256" t="s">
        <v>512</v>
      </c>
      <c r="J256" t="str">
        <f t="shared" si="29"/>
        <v>080302</v>
      </c>
      <c r="K256" t="s">
        <v>22</v>
      </c>
      <c r="L256" t="s">
        <v>23</v>
      </c>
      <c r="M256" t="str">
        <f>CONCATENATE("3","")</f>
        <v>3</v>
      </c>
      <c r="O256" t="str">
        <f>CONCATENATE("1 ","")</f>
        <v>1 </v>
      </c>
      <c r="P256">
        <v>63.05</v>
      </c>
      <c r="Q256" t="s">
        <v>51</v>
      </c>
    </row>
    <row r="257" spans="1:17" ht="15">
      <c r="A257" t="s">
        <v>17</v>
      </c>
      <c r="B257" s="1">
        <v>43152</v>
      </c>
      <c r="C257" t="s">
        <v>376</v>
      </c>
      <c r="D257" t="str">
        <f>CONCATENATE("0070015011","")</f>
        <v>0070015011</v>
      </c>
      <c r="E257" t="str">
        <f>CONCATENATE("0030220000378       ","")</f>
        <v>0030220000378       </v>
      </c>
      <c r="F257" t="str">
        <f>CONCATENATE("2128064","")</f>
        <v>2128064</v>
      </c>
      <c r="G257" t="s">
        <v>513</v>
      </c>
      <c r="H257" t="s">
        <v>514</v>
      </c>
      <c r="I257" t="s">
        <v>515</v>
      </c>
      <c r="J257" t="str">
        <f t="shared" si="29"/>
        <v>080302</v>
      </c>
      <c r="K257" t="s">
        <v>22</v>
      </c>
      <c r="L257" t="s">
        <v>23</v>
      </c>
      <c r="M257" t="str">
        <f aca="true" t="shared" si="30" ref="M257:M288">CONCATENATE("1","")</f>
        <v>1</v>
      </c>
      <c r="O257" t="str">
        <f>CONCATENATE("1 ","")</f>
        <v>1 </v>
      </c>
      <c r="P257">
        <v>44.95</v>
      </c>
      <c r="Q257" t="s">
        <v>24</v>
      </c>
    </row>
    <row r="258" spans="1:17" ht="15">
      <c r="A258" t="s">
        <v>17</v>
      </c>
      <c r="B258" s="1">
        <v>43152</v>
      </c>
      <c r="C258" t="s">
        <v>376</v>
      </c>
      <c r="D258" t="str">
        <f>CONCATENATE("0070015530","")</f>
        <v>0070015530</v>
      </c>
      <c r="E258" t="str">
        <f>CONCATENATE("0030222000150       ","")</f>
        <v>0030222000150       </v>
      </c>
      <c r="F258" t="str">
        <f>CONCATENATE("607294350","")</f>
        <v>607294350</v>
      </c>
      <c r="G258" t="s">
        <v>516</v>
      </c>
      <c r="H258" t="s">
        <v>517</v>
      </c>
      <c r="I258" t="s">
        <v>518</v>
      </c>
      <c r="J258" t="str">
        <f t="shared" si="29"/>
        <v>080302</v>
      </c>
      <c r="K258" t="s">
        <v>22</v>
      </c>
      <c r="L258" t="s">
        <v>23</v>
      </c>
      <c r="M258" t="str">
        <f t="shared" si="30"/>
        <v>1</v>
      </c>
      <c r="O258" t="str">
        <f>CONCATENATE("5 ","")</f>
        <v>5 </v>
      </c>
      <c r="P258">
        <v>44.35</v>
      </c>
      <c r="Q258" t="s">
        <v>24</v>
      </c>
    </row>
    <row r="259" spans="1:17" ht="15">
      <c r="A259" t="s">
        <v>17</v>
      </c>
      <c r="B259" s="1">
        <v>43152</v>
      </c>
      <c r="C259" t="s">
        <v>519</v>
      </c>
      <c r="D259" t="str">
        <f>CONCATENATE("0070027235","")</f>
        <v>0070027235</v>
      </c>
      <c r="E259" t="str">
        <f>CONCATENATE("0030223000065       ","")</f>
        <v>0030223000065       </v>
      </c>
      <c r="F259" t="str">
        <f>CONCATENATE("606894145","")</f>
        <v>606894145</v>
      </c>
      <c r="G259" t="s">
        <v>520</v>
      </c>
      <c r="H259" t="s">
        <v>521</v>
      </c>
      <c r="I259" t="s">
        <v>522</v>
      </c>
      <c r="J259" t="str">
        <f aca="true" t="shared" si="31" ref="J259:J264">CONCATENATE("080304","")</f>
        <v>080304</v>
      </c>
      <c r="K259" t="s">
        <v>22</v>
      </c>
      <c r="L259" t="s">
        <v>23</v>
      </c>
      <c r="M259" t="str">
        <f t="shared" si="30"/>
        <v>1</v>
      </c>
      <c r="O259" t="str">
        <f>CONCATENATE("1 ","")</f>
        <v>1 </v>
      </c>
      <c r="P259">
        <v>10.65</v>
      </c>
      <c r="Q259" t="s">
        <v>24</v>
      </c>
    </row>
    <row r="260" spans="1:17" ht="15">
      <c r="A260" t="s">
        <v>17</v>
      </c>
      <c r="B260" s="1">
        <v>43152</v>
      </c>
      <c r="C260" t="s">
        <v>519</v>
      </c>
      <c r="D260" t="str">
        <f>CONCATENATE("0070011939","")</f>
        <v>0070011939</v>
      </c>
      <c r="E260" t="str">
        <f>CONCATENATE("0030223000100       ","")</f>
        <v>0030223000100       </v>
      </c>
      <c r="F260" t="str">
        <f>CONCATENATE("606664085","")</f>
        <v>606664085</v>
      </c>
      <c r="G260" t="s">
        <v>520</v>
      </c>
      <c r="H260" t="s">
        <v>523</v>
      </c>
      <c r="I260" t="s">
        <v>524</v>
      </c>
      <c r="J260" t="str">
        <f t="shared" si="31"/>
        <v>080304</v>
      </c>
      <c r="K260" t="s">
        <v>22</v>
      </c>
      <c r="L260" t="s">
        <v>23</v>
      </c>
      <c r="M260" t="str">
        <f t="shared" si="30"/>
        <v>1</v>
      </c>
      <c r="O260" t="str">
        <f>CONCATENATE("1 ","")</f>
        <v>1 </v>
      </c>
      <c r="P260">
        <v>10.7</v>
      </c>
      <c r="Q260" t="s">
        <v>24</v>
      </c>
    </row>
    <row r="261" spans="1:17" ht="15">
      <c r="A261" t="s">
        <v>17</v>
      </c>
      <c r="B261" s="1">
        <v>43152</v>
      </c>
      <c r="C261" t="s">
        <v>519</v>
      </c>
      <c r="D261" t="str">
        <f>CONCATENATE("0070024869","")</f>
        <v>0070024869</v>
      </c>
      <c r="E261" t="str">
        <f>CONCATENATE("0030223000225       ","")</f>
        <v>0030223000225       </v>
      </c>
      <c r="F261" t="str">
        <f>CONCATENATE("606851761","")</f>
        <v>606851761</v>
      </c>
      <c r="G261" t="s">
        <v>520</v>
      </c>
      <c r="H261" t="s">
        <v>525</v>
      </c>
      <c r="I261" t="s">
        <v>526</v>
      </c>
      <c r="J261" t="str">
        <f t="shared" si="31"/>
        <v>080304</v>
      </c>
      <c r="K261" t="s">
        <v>22</v>
      </c>
      <c r="L261" t="s">
        <v>23</v>
      </c>
      <c r="M261" t="str">
        <f t="shared" si="30"/>
        <v>1</v>
      </c>
      <c r="O261" t="str">
        <f>CONCATENATE("1 ","")</f>
        <v>1 </v>
      </c>
      <c r="P261">
        <v>28.4</v>
      </c>
      <c r="Q261" t="s">
        <v>24</v>
      </c>
    </row>
    <row r="262" spans="1:17" ht="15">
      <c r="A262" t="s">
        <v>17</v>
      </c>
      <c r="B262" s="1">
        <v>43152</v>
      </c>
      <c r="C262" t="s">
        <v>519</v>
      </c>
      <c r="D262" t="str">
        <f>CONCATENATE("0070017482","")</f>
        <v>0070017482</v>
      </c>
      <c r="E262" t="str">
        <f>CONCATENATE("0030223000250       ","")</f>
        <v>0030223000250       </v>
      </c>
      <c r="F262" t="str">
        <f>CONCATENATE("606907619","")</f>
        <v>606907619</v>
      </c>
      <c r="G262" t="s">
        <v>520</v>
      </c>
      <c r="H262" t="s">
        <v>527</v>
      </c>
      <c r="I262" t="s">
        <v>528</v>
      </c>
      <c r="J262" t="str">
        <f t="shared" si="31"/>
        <v>080304</v>
      </c>
      <c r="K262" t="s">
        <v>22</v>
      </c>
      <c r="L262" t="s">
        <v>23</v>
      </c>
      <c r="M262" t="str">
        <f t="shared" si="30"/>
        <v>1</v>
      </c>
      <c r="O262" t="str">
        <f>CONCATENATE("2 ","")</f>
        <v>2 </v>
      </c>
      <c r="P262">
        <v>21.65</v>
      </c>
      <c r="Q262" t="s">
        <v>24</v>
      </c>
    </row>
    <row r="263" spans="1:17" ht="15">
      <c r="A263" t="s">
        <v>17</v>
      </c>
      <c r="B263" s="1">
        <v>43152</v>
      </c>
      <c r="C263" t="s">
        <v>519</v>
      </c>
      <c r="D263" t="str">
        <f>CONCATENATE("0070011947","")</f>
        <v>0070011947</v>
      </c>
      <c r="E263" t="str">
        <f>CONCATENATE("0030223000270       ","")</f>
        <v>0030223000270       </v>
      </c>
      <c r="F263" t="str">
        <f>CONCATENATE("605771929","")</f>
        <v>605771929</v>
      </c>
      <c r="G263" t="s">
        <v>520</v>
      </c>
      <c r="H263" t="s">
        <v>529</v>
      </c>
      <c r="I263" t="s">
        <v>524</v>
      </c>
      <c r="J263" t="str">
        <f t="shared" si="31"/>
        <v>080304</v>
      </c>
      <c r="K263" t="s">
        <v>22</v>
      </c>
      <c r="L263" t="s">
        <v>23</v>
      </c>
      <c r="M263" t="str">
        <f t="shared" si="30"/>
        <v>1</v>
      </c>
      <c r="O263" t="str">
        <f aca="true" t="shared" si="32" ref="O263:O269">CONCATENATE("1 ","")</f>
        <v>1 </v>
      </c>
      <c r="P263">
        <v>11.75</v>
      </c>
      <c r="Q263" t="s">
        <v>24</v>
      </c>
    </row>
    <row r="264" spans="1:17" ht="15">
      <c r="A264" t="s">
        <v>17</v>
      </c>
      <c r="B264" s="1">
        <v>43152</v>
      </c>
      <c r="C264" t="s">
        <v>519</v>
      </c>
      <c r="D264" t="str">
        <f>CONCATENATE("0070016561","")</f>
        <v>0070016561</v>
      </c>
      <c r="E264" t="str">
        <f>CONCATENATE("0030223000275       ","")</f>
        <v>0030223000275       </v>
      </c>
      <c r="F264" t="str">
        <f>CONCATENATE("605284365","")</f>
        <v>605284365</v>
      </c>
      <c r="G264" t="s">
        <v>520</v>
      </c>
      <c r="H264" t="s">
        <v>530</v>
      </c>
      <c r="I264" t="s">
        <v>531</v>
      </c>
      <c r="J264" t="str">
        <f t="shared" si="31"/>
        <v>080304</v>
      </c>
      <c r="K264" t="s">
        <v>22</v>
      </c>
      <c r="L264" t="s">
        <v>23</v>
      </c>
      <c r="M264" t="str">
        <f t="shared" si="30"/>
        <v>1</v>
      </c>
      <c r="O264" t="str">
        <f t="shared" si="32"/>
        <v>1 </v>
      </c>
      <c r="P264">
        <v>13.05</v>
      </c>
      <c r="Q264" t="s">
        <v>24</v>
      </c>
    </row>
    <row r="265" spans="1:17" ht="15">
      <c r="A265" t="s">
        <v>17</v>
      </c>
      <c r="B265" s="1">
        <v>43152</v>
      </c>
      <c r="C265" t="s">
        <v>376</v>
      </c>
      <c r="D265" t="str">
        <f>CONCATENATE("0070002622","")</f>
        <v>0070002622</v>
      </c>
      <c r="E265" t="str">
        <f>CONCATENATE("0030225000003       ","")</f>
        <v>0030225000003       </v>
      </c>
      <c r="F265" t="str">
        <f>CONCATENATE("606896887","")</f>
        <v>606896887</v>
      </c>
      <c r="G265" t="s">
        <v>532</v>
      </c>
      <c r="H265" t="s">
        <v>533</v>
      </c>
      <c r="I265" t="s">
        <v>534</v>
      </c>
      <c r="J265" t="str">
        <f aca="true" t="shared" si="33" ref="J265:J296">CONCATENATE("080302","")</f>
        <v>080302</v>
      </c>
      <c r="K265" t="s">
        <v>22</v>
      </c>
      <c r="L265" t="s">
        <v>23</v>
      </c>
      <c r="M265" t="str">
        <f t="shared" si="30"/>
        <v>1</v>
      </c>
      <c r="O265" t="str">
        <f t="shared" si="32"/>
        <v>1 </v>
      </c>
      <c r="P265">
        <v>15.35</v>
      </c>
      <c r="Q265" t="s">
        <v>24</v>
      </c>
    </row>
    <row r="266" spans="1:17" ht="15">
      <c r="A266" t="s">
        <v>17</v>
      </c>
      <c r="B266" s="1">
        <v>43152</v>
      </c>
      <c r="C266" t="s">
        <v>376</v>
      </c>
      <c r="D266" t="str">
        <f>CONCATENATE("0070002626","")</f>
        <v>0070002626</v>
      </c>
      <c r="E266" t="str">
        <f>CONCATENATE("0030225000015       ","")</f>
        <v>0030225000015       </v>
      </c>
      <c r="F266" t="str">
        <f>CONCATENATE("606846892","")</f>
        <v>606846892</v>
      </c>
      <c r="G266" t="s">
        <v>532</v>
      </c>
      <c r="H266" t="s">
        <v>535</v>
      </c>
      <c r="I266" t="s">
        <v>536</v>
      </c>
      <c r="J266" t="str">
        <f t="shared" si="33"/>
        <v>080302</v>
      </c>
      <c r="K266" t="s">
        <v>22</v>
      </c>
      <c r="L266" t="s">
        <v>23</v>
      </c>
      <c r="M266" t="str">
        <f t="shared" si="30"/>
        <v>1</v>
      </c>
      <c r="O266" t="str">
        <f t="shared" si="32"/>
        <v>1 </v>
      </c>
      <c r="P266">
        <v>11.5</v>
      </c>
      <c r="Q266" t="s">
        <v>24</v>
      </c>
    </row>
    <row r="267" spans="1:17" ht="15">
      <c r="A267" t="s">
        <v>17</v>
      </c>
      <c r="B267" s="1">
        <v>43152</v>
      </c>
      <c r="C267" t="s">
        <v>376</v>
      </c>
      <c r="D267" t="str">
        <f>CONCATENATE("0070002663","")</f>
        <v>0070002663</v>
      </c>
      <c r="E267" t="str">
        <f>CONCATENATE("0030225000205       ","")</f>
        <v>0030225000205       </v>
      </c>
      <c r="F267" t="str">
        <f>CONCATENATE("605291431","")</f>
        <v>605291431</v>
      </c>
      <c r="G267" t="s">
        <v>532</v>
      </c>
      <c r="H267" t="s">
        <v>537</v>
      </c>
      <c r="I267" t="s">
        <v>538</v>
      </c>
      <c r="J267" t="str">
        <f t="shared" si="33"/>
        <v>080302</v>
      </c>
      <c r="K267" t="s">
        <v>22</v>
      </c>
      <c r="L267" t="s">
        <v>23</v>
      </c>
      <c r="M267" t="str">
        <f t="shared" si="30"/>
        <v>1</v>
      </c>
      <c r="O267" t="str">
        <f t="shared" si="32"/>
        <v>1 </v>
      </c>
      <c r="P267">
        <v>16</v>
      </c>
      <c r="Q267" t="s">
        <v>24</v>
      </c>
    </row>
    <row r="268" spans="1:17" ht="15">
      <c r="A268" t="s">
        <v>17</v>
      </c>
      <c r="B268" s="1">
        <v>43152</v>
      </c>
      <c r="C268" t="s">
        <v>376</v>
      </c>
      <c r="D268" t="str">
        <f>CONCATENATE("0070002675","")</f>
        <v>0070002675</v>
      </c>
      <c r="E268" t="str">
        <f>CONCATENATE("0030225000260       ","")</f>
        <v>0030225000260       </v>
      </c>
      <c r="F268" t="str">
        <f>CONCATENATE("605754004","")</f>
        <v>605754004</v>
      </c>
      <c r="G268" t="s">
        <v>532</v>
      </c>
      <c r="H268" t="s">
        <v>539</v>
      </c>
      <c r="I268" t="s">
        <v>540</v>
      </c>
      <c r="J268" t="str">
        <f t="shared" si="33"/>
        <v>080302</v>
      </c>
      <c r="K268" t="s">
        <v>22</v>
      </c>
      <c r="L268" t="s">
        <v>23</v>
      </c>
      <c r="M268" t="str">
        <f t="shared" si="30"/>
        <v>1</v>
      </c>
      <c r="O268" t="str">
        <f t="shared" si="32"/>
        <v>1 </v>
      </c>
      <c r="P268">
        <v>35</v>
      </c>
      <c r="Q268" t="s">
        <v>24</v>
      </c>
    </row>
    <row r="269" spans="1:17" ht="15">
      <c r="A269" t="s">
        <v>17</v>
      </c>
      <c r="B269" s="1">
        <v>43152</v>
      </c>
      <c r="C269" t="s">
        <v>376</v>
      </c>
      <c r="D269" t="str">
        <f>CONCATENATE("0070002677","")</f>
        <v>0070002677</v>
      </c>
      <c r="E269" t="str">
        <f>CONCATENATE("0030225000262       ","")</f>
        <v>0030225000262       </v>
      </c>
      <c r="F269" t="str">
        <f>CONCATENATE("2191090","")</f>
        <v>2191090</v>
      </c>
      <c r="G269" t="s">
        <v>532</v>
      </c>
      <c r="H269" t="s">
        <v>541</v>
      </c>
      <c r="I269" t="s">
        <v>540</v>
      </c>
      <c r="J269" t="str">
        <f t="shared" si="33"/>
        <v>080302</v>
      </c>
      <c r="K269" t="s">
        <v>22</v>
      </c>
      <c r="L269" t="s">
        <v>23</v>
      </c>
      <c r="M269" t="str">
        <f t="shared" si="30"/>
        <v>1</v>
      </c>
      <c r="O269" t="str">
        <f t="shared" si="32"/>
        <v>1 </v>
      </c>
      <c r="P269">
        <v>32.25</v>
      </c>
      <c r="Q269" t="s">
        <v>24</v>
      </c>
    </row>
    <row r="270" spans="1:17" ht="15">
      <c r="A270" t="s">
        <v>17</v>
      </c>
      <c r="B270" s="1">
        <v>43152</v>
      </c>
      <c r="C270" t="s">
        <v>376</v>
      </c>
      <c r="D270" t="str">
        <f>CONCATENATE("0070002686","")</f>
        <v>0070002686</v>
      </c>
      <c r="E270" t="str">
        <f>CONCATENATE("0030225000310       ","")</f>
        <v>0030225000310       </v>
      </c>
      <c r="F270" t="str">
        <f>CONCATENATE("2183704","")</f>
        <v>2183704</v>
      </c>
      <c r="G270" t="s">
        <v>542</v>
      </c>
      <c r="H270" t="s">
        <v>543</v>
      </c>
      <c r="I270" t="s">
        <v>540</v>
      </c>
      <c r="J270" t="str">
        <f t="shared" si="33"/>
        <v>080302</v>
      </c>
      <c r="K270" t="s">
        <v>22</v>
      </c>
      <c r="L270" t="s">
        <v>23</v>
      </c>
      <c r="M270" t="str">
        <f t="shared" si="30"/>
        <v>1</v>
      </c>
      <c r="O270" t="str">
        <f>CONCATENATE("4 ","")</f>
        <v>4 </v>
      </c>
      <c r="P270">
        <v>187.7</v>
      </c>
      <c r="Q270" t="s">
        <v>24</v>
      </c>
    </row>
    <row r="271" spans="1:17" ht="15">
      <c r="A271" t="s">
        <v>17</v>
      </c>
      <c r="B271" s="1">
        <v>43152</v>
      </c>
      <c r="C271" t="s">
        <v>376</v>
      </c>
      <c r="D271" t="str">
        <f>CONCATENATE("0070002690","")</f>
        <v>0070002690</v>
      </c>
      <c r="E271" t="str">
        <f>CONCATENATE("0030225000330       ","")</f>
        <v>0030225000330       </v>
      </c>
      <c r="F271" t="str">
        <f>CONCATENATE("2191095","")</f>
        <v>2191095</v>
      </c>
      <c r="G271" t="s">
        <v>542</v>
      </c>
      <c r="H271" t="s">
        <v>544</v>
      </c>
      <c r="I271" t="s">
        <v>540</v>
      </c>
      <c r="J271" t="str">
        <f t="shared" si="33"/>
        <v>080302</v>
      </c>
      <c r="K271" t="s">
        <v>22</v>
      </c>
      <c r="L271" t="s">
        <v>23</v>
      </c>
      <c r="M271" t="str">
        <f t="shared" si="30"/>
        <v>1</v>
      </c>
      <c r="O271" t="str">
        <f>CONCATENATE("2 ","")</f>
        <v>2 </v>
      </c>
      <c r="P271">
        <v>47.7</v>
      </c>
      <c r="Q271" t="s">
        <v>24</v>
      </c>
    </row>
    <row r="272" spans="1:17" ht="15">
      <c r="A272" t="s">
        <v>17</v>
      </c>
      <c r="B272" s="1">
        <v>43152</v>
      </c>
      <c r="C272" t="s">
        <v>376</v>
      </c>
      <c r="D272" t="str">
        <f>CONCATENATE("0070002691","")</f>
        <v>0070002691</v>
      </c>
      <c r="E272" t="str">
        <f>CONCATENATE("0030225000340       ","")</f>
        <v>0030225000340       </v>
      </c>
      <c r="F272" t="str">
        <f>CONCATENATE("606896905","")</f>
        <v>606896905</v>
      </c>
      <c r="G272" t="s">
        <v>542</v>
      </c>
      <c r="H272" t="s">
        <v>545</v>
      </c>
      <c r="I272" t="s">
        <v>540</v>
      </c>
      <c r="J272" t="str">
        <f t="shared" si="33"/>
        <v>080302</v>
      </c>
      <c r="K272" t="s">
        <v>22</v>
      </c>
      <c r="L272" t="s">
        <v>23</v>
      </c>
      <c r="M272" t="str">
        <f t="shared" si="30"/>
        <v>1</v>
      </c>
      <c r="O272" t="str">
        <f>CONCATENATE("1 ","")</f>
        <v>1 </v>
      </c>
      <c r="P272">
        <v>13.1</v>
      </c>
      <c r="Q272" t="s">
        <v>24</v>
      </c>
    </row>
    <row r="273" spans="1:17" ht="15">
      <c r="A273" t="s">
        <v>17</v>
      </c>
      <c r="B273" s="1">
        <v>43152</v>
      </c>
      <c r="C273" t="s">
        <v>376</v>
      </c>
      <c r="D273" t="str">
        <f>CONCATENATE("0070017025","")</f>
        <v>0070017025</v>
      </c>
      <c r="E273" t="str">
        <f>CONCATENATE("0030225000500       ","")</f>
        <v>0030225000500       </v>
      </c>
      <c r="F273" t="str">
        <f>CONCATENATE("605287507","")</f>
        <v>605287507</v>
      </c>
      <c r="G273" t="s">
        <v>532</v>
      </c>
      <c r="H273" t="s">
        <v>546</v>
      </c>
      <c r="I273" t="s">
        <v>547</v>
      </c>
      <c r="J273" t="str">
        <f t="shared" si="33"/>
        <v>080302</v>
      </c>
      <c r="K273" t="s">
        <v>22</v>
      </c>
      <c r="L273" t="s">
        <v>23</v>
      </c>
      <c r="M273" t="str">
        <f t="shared" si="30"/>
        <v>1</v>
      </c>
      <c r="O273" t="str">
        <f>CONCATENATE("1 ","")</f>
        <v>1 </v>
      </c>
      <c r="P273">
        <v>51.85</v>
      </c>
      <c r="Q273" t="s">
        <v>24</v>
      </c>
    </row>
    <row r="274" spans="1:17" ht="15">
      <c r="A274" t="s">
        <v>17</v>
      </c>
      <c r="B274" s="1">
        <v>43152</v>
      </c>
      <c r="C274" t="s">
        <v>376</v>
      </c>
      <c r="D274" t="str">
        <f>CONCATENATE("0070002695","")</f>
        <v>0070002695</v>
      </c>
      <c r="E274" t="str">
        <f>CONCATENATE("0030226000020       ","")</f>
        <v>0030226000020       </v>
      </c>
      <c r="F274" t="str">
        <f>CONCATENATE("606903231","")</f>
        <v>606903231</v>
      </c>
      <c r="G274" t="s">
        <v>394</v>
      </c>
      <c r="H274" t="s">
        <v>548</v>
      </c>
      <c r="I274" t="s">
        <v>540</v>
      </c>
      <c r="J274" t="str">
        <f t="shared" si="33"/>
        <v>080302</v>
      </c>
      <c r="K274" t="s">
        <v>22</v>
      </c>
      <c r="L274" t="s">
        <v>23</v>
      </c>
      <c r="M274" t="str">
        <f t="shared" si="30"/>
        <v>1</v>
      </c>
      <c r="O274" t="str">
        <f>CONCATENATE("1 ","")</f>
        <v>1 </v>
      </c>
      <c r="P274">
        <v>13.85</v>
      </c>
      <c r="Q274" t="s">
        <v>24</v>
      </c>
    </row>
    <row r="275" spans="1:17" ht="15">
      <c r="A275" t="s">
        <v>17</v>
      </c>
      <c r="B275" s="1">
        <v>43152</v>
      </c>
      <c r="C275" t="s">
        <v>376</v>
      </c>
      <c r="D275" t="str">
        <f>CONCATENATE("0070015501","")</f>
        <v>0070015501</v>
      </c>
      <c r="E275" t="str">
        <f>CONCATENATE("0030229000120       ","")</f>
        <v>0030229000120       </v>
      </c>
      <c r="F275" t="str">
        <f>CONCATENATE("606905537","")</f>
        <v>606905537</v>
      </c>
      <c r="G275" t="s">
        <v>549</v>
      </c>
      <c r="H275" t="s">
        <v>550</v>
      </c>
      <c r="I275" t="s">
        <v>551</v>
      </c>
      <c r="J275" t="str">
        <f t="shared" si="33"/>
        <v>080302</v>
      </c>
      <c r="K275" t="s">
        <v>22</v>
      </c>
      <c r="L275" t="s">
        <v>23</v>
      </c>
      <c r="M275" t="str">
        <f t="shared" si="30"/>
        <v>1</v>
      </c>
      <c r="O275" t="str">
        <f>CONCATENATE("5 ","")</f>
        <v>5 </v>
      </c>
      <c r="P275">
        <v>36.75</v>
      </c>
      <c r="Q275" t="s">
        <v>24</v>
      </c>
    </row>
    <row r="276" spans="1:17" ht="15">
      <c r="A276" t="s">
        <v>17</v>
      </c>
      <c r="B276" s="1">
        <v>43152</v>
      </c>
      <c r="C276" t="s">
        <v>376</v>
      </c>
      <c r="D276" t="str">
        <f>CONCATENATE("0070026797","")</f>
        <v>0070026797</v>
      </c>
      <c r="E276" t="str">
        <f>CONCATENATE("0030229000235       ","")</f>
        <v>0030229000235       </v>
      </c>
      <c r="F276" t="str">
        <f>CONCATENATE("605284376","")</f>
        <v>605284376</v>
      </c>
      <c r="G276" t="s">
        <v>552</v>
      </c>
      <c r="H276" t="s">
        <v>553</v>
      </c>
      <c r="I276" t="s">
        <v>554</v>
      </c>
      <c r="J276" t="str">
        <f t="shared" si="33"/>
        <v>080302</v>
      </c>
      <c r="K276" t="s">
        <v>22</v>
      </c>
      <c r="L276" t="s">
        <v>23</v>
      </c>
      <c r="M276" t="str">
        <f t="shared" si="30"/>
        <v>1</v>
      </c>
      <c r="O276" t="str">
        <f>CONCATENATE("8 ","")</f>
        <v>8 </v>
      </c>
      <c r="P276">
        <v>280.8</v>
      </c>
      <c r="Q276" t="s">
        <v>24</v>
      </c>
    </row>
    <row r="277" spans="1:17" ht="15">
      <c r="A277" t="s">
        <v>17</v>
      </c>
      <c r="B277" s="1">
        <v>43152</v>
      </c>
      <c r="C277" t="s">
        <v>376</v>
      </c>
      <c r="D277" t="str">
        <f>CONCATENATE("0070022507","")</f>
        <v>0070022507</v>
      </c>
      <c r="E277" t="str">
        <f>CONCATENATE("0030229000236       ","")</f>
        <v>0030229000236       </v>
      </c>
      <c r="F277" t="str">
        <f>CONCATENATE("2122625","")</f>
        <v>2122625</v>
      </c>
      <c r="G277" t="s">
        <v>555</v>
      </c>
      <c r="H277" t="s">
        <v>556</v>
      </c>
      <c r="I277" t="s">
        <v>557</v>
      </c>
      <c r="J277" t="str">
        <f t="shared" si="33"/>
        <v>080302</v>
      </c>
      <c r="K277" t="s">
        <v>22</v>
      </c>
      <c r="L277" t="s">
        <v>23</v>
      </c>
      <c r="M277" t="str">
        <f t="shared" si="30"/>
        <v>1</v>
      </c>
      <c r="O277" t="str">
        <f>CONCATENATE("1 ","")</f>
        <v>1 </v>
      </c>
      <c r="P277">
        <v>53.25</v>
      </c>
      <c r="Q277" t="s">
        <v>24</v>
      </c>
    </row>
    <row r="278" spans="1:17" ht="15">
      <c r="A278" t="s">
        <v>17</v>
      </c>
      <c r="B278" s="1">
        <v>43152</v>
      </c>
      <c r="C278" t="s">
        <v>376</v>
      </c>
      <c r="D278" t="str">
        <f>CONCATENATE("0070016513","")</f>
        <v>0070016513</v>
      </c>
      <c r="E278" t="str">
        <f>CONCATENATE("0030229000237       ","")</f>
        <v>0030229000237       </v>
      </c>
      <c r="F278" t="str">
        <f>CONCATENATE("606898603","")</f>
        <v>606898603</v>
      </c>
      <c r="G278" t="s">
        <v>555</v>
      </c>
      <c r="H278" t="s">
        <v>558</v>
      </c>
      <c r="I278" t="s">
        <v>559</v>
      </c>
      <c r="J278" t="str">
        <f t="shared" si="33"/>
        <v>080302</v>
      </c>
      <c r="K278" t="s">
        <v>22</v>
      </c>
      <c r="L278" t="s">
        <v>23</v>
      </c>
      <c r="M278" t="str">
        <f t="shared" si="30"/>
        <v>1</v>
      </c>
      <c r="O278" t="str">
        <f>CONCATENATE("1 ","")</f>
        <v>1 </v>
      </c>
      <c r="P278">
        <v>37.65</v>
      </c>
      <c r="Q278" t="s">
        <v>24</v>
      </c>
    </row>
    <row r="279" spans="1:17" ht="15">
      <c r="A279" t="s">
        <v>17</v>
      </c>
      <c r="B279" s="1">
        <v>43152</v>
      </c>
      <c r="C279" t="s">
        <v>376</v>
      </c>
      <c r="D279" t="str">
        <f>CONCATENATE("0070023498","")</f>
        <v>0070023498</v>
      </c>
      <c r="E279" t="str">
        <f>CONCATENATE("0030229000245       ","")</f>
        <v>0030229000245       </v>
      </c>
      <c r="F279" t="str">
        <f>CONCATENATE("606600782","")</f>
        <v>606600782</v>
      </c>
      <c r="G279" t="s">
        <v>555</v>
      </c>
      <c r="H279" t="s">
        <v>560</v>
      </c>
      <c r="I279" t="s">
        <v>561</v>
      </c>
      <c r="J279" t="str">
        <f t="shared" si="33"/>
        <v>080302</v>
      </c>
      <c r="K279" t="s">
        <v>22</v>
      </c>
      <c r="L279" t="s">
        <v>23</v>
      </c>
      <c r="M279" t="str">
        <f t="shared" si="30"/>
        <v>1</v>
      </c>
      <c r="O279" t="str">
        <f>CONCATENATE("2 ","")</f>
        <v>2 </v>
      </c>
      <c r="P279">
        <v>108.9</v>
      </c>
      <c r="Q279" t="s">
        <v>24</v>
      </c>
    </row>
    <row r="280" spans="1:17" ht="15">
      <c r="A280" t="s">
        <v>17</v>
      </c>
      <c r="B280" s="1">
        <v>43152</v>
      </c>
      <c r="C280" t="s">
        <v>376</v>
      </c>
      <c r="D280" t="str">
        <f>CONCATENATE("0070016511","")</f>
        <v>0070016511</v>
      </c>
      <c r="E280" t="str">
        <f>CONCATENATE("0030229000375       ","")</f>
        <v>0030229000375       </v>
      </c>
      <c r="F280" t="str">
        <f>CONCATENATE("607449913","")</f>
        <v>607449913</v>
      </c>
      <c r="G280" t="s">
        <v>555</v>
      </c>
      <c r="H280" t="s">
        <v>562</v>
      </c>
      <c r="I280" t="s">
        <v>559</v>
      </c>
      <c r="J280" t="str">
        <f t="shared" si="33"/>
        <v>080302</v>
      </c>
      <c r="K280" t="s">
        <v>22</v>
      </c>
      <c r="L280" t="s">
        <v>23</v>
      </c>
      <c r="M280" t="str">
        <f t="shared" si="30"/>
        <v>1</v>
      </c>
      <c r="O280" t="str">
        <f>CONCATENATE("2 ","")</f>
        <v>2 </v>
      </c>
      <c r="P280">
        <v>41.75</v>
      </c>
      <c r="Q280" t="s">
        <v>24</v>
      </c>
    </row>
    <row r="281" spans="1:17" ht="15">
      <c r="A281" t="s">
        <v>17</v>
      </c>
      <c r="B281" s="1">
        <v>43152</v>
      </c>
      <c r="C281" t="s">
        <v>376</v>
      </c>
      <c r="D281" t="str">
        <f>CONCATENATE("0070011661","")</f>
        <v>0070011661</v>
      </c>
      <c r="E281" t="str">
        <f>CONCATENATE("0030230000173       ","")</f>
        <v>0030230000173       </v>
      </c>
      <c r="F281" t="str">
        <f>CONCATENATE("605771994","")</f>
        <v>605771994</v>
      </c>
      <c r="G281" t="s">
        <v>563</v>
      </c>
      <c r="H281" t="e">
        <f>-AHUINCAMASCCA-CCAMATO--LEONCI</f>
        <v>#NAME?</v>
      </c>
      <c r="I281" t="s">
        <v>564</v>
      </c>
      <c r="J281" t="str">
        <f t="shared" si="33"/>
        <v>080302</v>
      </c>
      <c r="K281" t="s">
        <v>22</v>
      </c>
      <c r="L281" t="s">
        <v>23</v>
      </c>
      <c r="M281" t="str">
        <f t="shared" si="30"/>
        <v>1</v>
      </c>
      <c r="O281" t="str">
        <f>CONCATENATE("1 ","")</f>
        <v>1 </v>
      </c>
      <c r="P281">
        <v>63.45</v>
      </c>
      <c r="Q281" t="s">
        <v>24</v>
      </c>
    </row>
    <row r="282" spans="1:17" ht="15">
      <c r="A282" t="s">
        <v>17</v>
      </c>
      <c r="B282" s="1">
        <v>43152</v>
      </c>
      <c r="C282" t="s">
        <v>376</v>
      </c>
      <c r="D282" t="str">
        <f>CONCATENATE("0070021240","")</f>
        <v>0070021240</v>
      </c>
      <c r="E282" t="str">
        <f>CONCATENATE("0030230000175       ","")</f>
        <v>0030230000175       </v>
      </c>
      <c r="F282" t="str">
        <f>CONCATENATE("1764461","")</f>
        <v>1764461</v>
      </c>
      <c r="G282" t="s">
        <v>563</v>
      </c>
      <c r="H282" t="s">
        <v>565</v>
      </c>
      <c r="I282" t="s">
        <v>566</v>
      </c>
      <c r="J282" t="str">
        <f t="shared" si="33"/>
        <v>080302</v>
      </c>
      <c r="K282" t="s">
        <v>22</v>
      </c>
      <c r="L282" t="s">
        <v>23</v>
      </c>
      <c r="M282" t="str">
        <f t="shared" si="30"/>
        <v>1</v>
      </c>
      <c r="O282" t="str">
        <f>CONCATENATE("2 ","")</f>
        <v>2 </v>
      </c>
      <c r="P282">
        <v>54.9</v>
      </c>
      <c r="Q282" t="s">
        <v>24</v>
      </c>
    </row>
    <row r="283" spans="1:17" ht="15">
      <c r="A283" t="s">
        <v>17</v>
      </c>
      <c r="B283" s="1">
        <v>43152</v>
      </c>
      <c r="C283" t="s">
        <v>376</v>
      </c>
      <c r="D283" t="str">
        <f>CONCATENATE("0070002776","")</f>
        <v>0070002776</v>
      </c>
      <c r="E283" t="str">
        <f>CONCATENATE("0030230000240       ","")</f>
        <v>0030230000240       </v>
      </c>
      <c r="F283" t="str">
        <f>CONCATENATE("607647529","")</f>
        <v>607647529</v>
      </c>
      <c r="G283" t="s">
        <v>567</v>
      </c>
      <c r="H283" t="s">
        <v>568</v>
      </c>
      <c r="I283" t="s">
        <v>569</v>
      </c>
      <c r="J283" t="str">
        <f t="shared" si="33"/>
        <v>080302</v>
      </c>
      <c r="K283" t="s">
        <v>22</v>
      </c>
      <c r="L283" t="s">
        <v>23</v>
      </c>
      <c r="M283" t="str">
        <f t="shared" si="30"/>
        <v>1</v>
      </c>
      <c r="O283" t="str">
        <f>CONCATENATE("1 ","")</f>
        <v>1 </v>
      </c>
      <c r="P283">
        <v>21.15</v>
      </c>
      <c r="Q283" t="s">
        <v>24</v>
      </c>
    </row>
    <row r="284" spans="1:17" ht="15">
      <c r="A284" t="s">
        <v>17</v>
      </c>
      <c r="B284" s="1">
        <v>43152</v>
      </c>
      <c r="C284" t="s">
        <v>376</v>
      </c>
      <c r="D284" t="str">
        <f>CONCATENATE("0070002777","")</f>
        <v>0070002777</v>
      </c>
      <c r="E284" t="str">
        <f>CONCATENATE("0030230000250       ","")</f>
        <v>0030230000250       </v>
      </c>
      <c r="F284" t="str">
        <f>CONCATENATE("605274928","")</f>
        <v>605274928</v>
      </c>
      <c r="G284" t="s">
        <v>555</v>
      </c>
      <c r="H284" t="s">
        <v>570</v>
      </c>
      <c r="I284" t="s">
        <v>569</v>
      </c>
      <c r="J284" t="str">
        <f t="shared" si="33"/>
        <v>080302</v>
      </c>
      <c r="K284" t="s">
        <v>22</v>
      </c>
      <c r="L284" t="s">
        <v>23</v>
      </c>
      <c r="M284" t="str">
        <f t="shared" si="30"/>
        <v>1</v>
      </c>
      <c r="O284" t="str">
        <f>CONCATENATE("1 ","")</f>
        <v>1 </v>
      </c>
      <c r="P284">
        <v>27.45</v>
      </c>
      <c r="Q284" t="s">
        <v>24</v>
      </c>
    </row>
    <row r="285" spans="1:17" ht="15">
      <c r="A285" t="s">
        <v>17</v>
      </c>
      <c r="B285" s="1">
        <v>43152</v>
      </c>
      <c r="C285" t="s">
        <v>376</v>
      </c>
      <c r="D285" t="str">
        <f>CONCATENATE("0070002788","")</f>
        <v>0070002788</v>
      </c>
      <c r="E285" t="str">
        <f>CONCATENATE("0030230000370       ","")</f>
        <v>0030230000370       </v>
      </c>
      <c r="F285" t="str">
        <f>CONCATENATE("605118850","")</f>
        <v>605118850</v>
      </c>
      <c r="G285" t="s">
        <v>555</v>
      </c>
      <c r="H285" t="s">
        <v>571</v>
      </c>
      <c r="I285" t="s">
        <v>569</v>
      </c>
      <c r="J285" t="str">
        <f t="shared" si="33"/>
        <v>080302</v>
      </c>
      <c r="K285" t="s">
        <v>22</v>
      </c>
      <c r="L285" t="s">
        <v>23</v>
      </c>
      <c r="M285" t="str">
        <f t="shared" si="30"/>
        <v>1</v>
      </c>
      <c r="O285" t="str">
        <f>CONCATENATE("1 ","")</f>
        <v>1 </v>
      </c>
      <c r="P285">
        <v>48.6</v>
      </c>
      <c r="Q285" t="s">
        <v>24</v>
      </c>
    </row>
    <row r="286" spans="1:17" ht="15">
      <c r="A286" t="s">
        <v>17</v>
      </c>
      <c r="B286" s="1">
        <v>43152</v>
      </c>
      <c r="C286" t="s">
        <v>376</v>
      </c>
      <c r="D286" t="str">
        <f>CONCATENATE("0070002790","")</f>
        <v>0070002790</v>
      </c>
      <c r="E286" t="str">
        <f>CONCATENATE("0030230000390       ","")</f>
        <v>0030230000390       </v>
      </c>
      <c r="F286" t="str">
        <f>CONCATENATE("605117419","")</f>
        <v>605117419</v>
      </c>
      <c r="G286" t="s">
        <v>555</v>
      </c>
      <c r="H286" t="s">
        <v>572</v>
      </c>
      <c r="I286" t="s">
        <v>569</v>
      </c>
      <c r="J286" t="str">
        <f t="shared" si="33"/>
        <v>080302</v>
      </c>
      <c r="K286" t="s">
        <v>22</v>
      </c>
      <c r="L286" t="s">
        <v>23</v>
      </c>
      <c r="M286" t="str">
        <f t="shared" si="30"/>
        <v>1</v>
      </c>
      <c r="O286" t="str">
        <f>CONCATENATE("1 ","")</f>
        <v>1 </v>
      </c>
      <c r="P286">
        <v>39.2</v>
      </c>
      <c r="Q286" t="s">
        <v>24</v>
      </c>
    </row>
    <row r="287" spans="1:17" ht="15">
      <c r="A287" t="s">
        <v>17</v>
      </c>
      <c r="B287" s="1">
        <v>43152</v>
      </c>
      <c r="C287" t="s">
        <v>376</v>
      </c>
      <c r="D287" t="str">
        <f>CONCATENATE("0070002794","")</f>
        <v>0070002794</v>
      </c>
      <c r="E287" t="str">
        <f>CONCATENATE("0030230000410       ","")</f>
        <v>0030230000410       </v>
      </c>
      <c r="F287" t="str">
        <f>CONCATENATE("605117418","")</f>
        <v>605117418</v>
      </c>
      <c r="G287" t="s">
        <v>555</v>
      </c>
      <c r="H287" t="s">
        <v>573</v>
      </c>
      <c r="I287" t="s">
        <v>569</v>
      </c>
      <c r="J287" t="str">
        <f t="shared" si="33"/>
        <v>080302</v>
      </c>
      <c r="K287" t="s">
        <v>22</v>
      </c>
      <c r="L287" t="s">
        <v>23</v>
      </c>
      <c r="M287" t="str">
        <f t="shared" si="30"/>
        <v>1</v>
      </c>
      <c r="O287" t="str">
        <f>CONCATENATE("2 ","")</f>
        <v>2 </v>
      </c>
      <c r="P287">
        <v>18.35</v>
      </c>
      <c r="Q287" t="s">
        <v>24</v>
      </c>
    </row>
    <row r="288" spans="1:17" ht="15">
      <c r="A288" t="s">
        <v>17</v>
      </c>
      <c r="B288" s="1">
        <v>43152</v>
      </c>
      <c r="C288" t="s">
        <v>376</v>
      </c>
      <c r="D288" t="str">
        <f>CONCATENATE("0070002797","")</f>
        <v>0070002797</v>
      </c>
      <c r="E288" t="str">
        <f>CONCATENATE("0030230000431       ","")</f>
        <v>0030230000431       </v>
      </c>
      <c r="F288" t="str">
        <f>CONCATENATE("605274934","")</f>
        <v>605274934</v>
      </c>
      <c r="G288" t="s">
        <v>563</v>
      </c>
      <c r="H288" t="s">
        <v>574</v>
      </c>
      <c r="I288" t="s">
        <v>575</v>
      </c>
      <c r="J288" t="str">
        <f t="shared" si="33"/>
        <v>080302</v>
      </c>
      <c r="K288" t="s">
        <v>22</v>
      </c>
      <c r="L288" t="s">
        <v>23</v>
      </c>
      <c r="M288" t="str">
        <f t="shared" si="30"/>
        <v>1</v>
      </c>
      <c r="O288" t="str">
        <f aca="true" t="shared" si="34" ref="O288:O295">CONCATENATE("1 ","")</f>
        <v>1 </v>
      </c>
      <c r="P288">
        <v>19</v>
      </c>
      <c r="Q288" t="s">
        <v>24</v>
      </c>
    </row>
    <row r="289" spans="1:17" ht="15">
      <c r="A289" t="s">
        <v>17</v>
      </c>
      <c r="B289" s="1">
        <v>43152</v>
      </c>
      <c r="C289" t="s">
        <v>376</v>
      </c>
      <c r="D289" t="str">
        <f>CONCATENATE("0070013569","")</f>
        <v>0070013569</v>
      </c>
      <c r="E289" t="str">
        <f>CONCATENATE("0030230000495       ","")</f>
        <v>0030230000495       </v>
      </c>
      <c r="F289" t="str">
        <f>CONCATENATE("00000292324","")</f>
        <v>00000292324</v>
      </c>
      <c r="G289" t="s">
        <v>555</v>
      </c>
      <c r="H289" t="s">
        <v>576</v>
      </c>
      <c r="I289" t="s">
        <v>559</v>
      </c>
      <c r="J289" t="str">
        <f t="shared" si="33"/>
        <v>080302</v>
      </c>
      <c r="K289" t="s">
        <v>22</v>
      </c>
      <c r="L289" t="s">
        <v>23</v>
      </c>
      <c r="M289" t="str">
        <f aca="true" t="shared" si="35" ref="M289:M320">CONCATENATE("1","")</f>
        <v>1</v>
      </c>
      <c r="O289" t="str">
        <f t="shared" si="34"/>
        <v>1 </v>
      </c>
      <c r="P289">
        <v>59.25</v>
      </c>
      <c r="Q289" t="s">
        <v>24</v>
      </c>
    </row>
    <row r="290" spans="1:17" ht="15">
      <c r="A290" t="s">
        <v>17</v>
      </c>
      <c r="B290" s="1">
        <v>43152</v>
      </c>
      <c r="C290" t="s">
        <v>376</v>
      </c>
      <c r="D290" t="str">
        <f>CONCATENATE("0070020030","")</f>
        <v>0070020030</v>
      </c>
      <c r="E290" t="str">
        <f>CONCATENATE("0030230000509       ","")</f>
        <v>0030230000509       </v>
      </c>
      <c r="F290" t="str">
        <f>CONCATENATE("605935919","")</f>
        <v>605935919</v>
      </c>
      <c r="G290" t="s">
        <v>555</v>
      </c>
      <c r="H290" t="s">
        <v>577</v>
      </c>
      <c r="I290" t="s">
        <v>578</v>
      </c>
      <c r="J290" t="str">
        <f t="shared" si="33"/>
        <v>080302</v>
      </c>
      <c r="K290" t="s">
        <v>22</v>
      </c>
      <c r="L290" t="s">
        <v>23</v>
      </c>
      <c r="M290" t="str">
        <f t="shared" si="35"/>
        <v>1</v>
      </c>
      <c r="O290" t="str">
        <f t="shared" si="34"/>
        <v>1 </v>
      </c>
      <c r="P290">
        <v>28.15</v>
      </c>
      <c r="Q290" t="s">
        <v>24</v>
      </c>
    </row>
    <row r="291" spans="1:17" ht="15">
      <c r="A291" t="s">
        <v>17</v>
      </c>
      <c r="B291" s="1">
        <v>43152</v>
      </c>
      <c r="C291" t="s">
        <v>376</v>
      </c>
      <c r="D291" t="str">
        <f>CONCATENATE("0070002810","")</f>
        <v>0070002810</v>
      </c>
      <c r="E291" t="str">
        <f>CONCATENATE("0030230000510       ","")</f>
        <v>0030230000510       </v>
      </c>
      <c r="F291" t="str">
        <f>CONCATENATE("605274921","")</f>
        <v>605274921</v>
      </c>
      <c r="G291" t="s">
        <v>555</v>
      </c>
      <c r="H291" t="s">
        <v>579</v>
      </c>
      <c r="I291" t="s">
        <v>569</v>
      </c>
      <c r="J291" t="str">
        <f t="shared" si="33"/>
        <v>080302</v>
      </c>
      <c r="K291" t="s">
        <v>22</v>
      </c>
      <c r="L291" t="s">
        <v>23</v>
      </c>
      <c r="M291" t="str">
        <f t="shared" si="35"/>
        <v>1</v>
      </c>
      <c r="O291" t="str">
        <f t="shared" si="34"/>
        <v>1 </v>
      </c>
      <c r="P291">
        <v>23.9</v>
      </c>
      <c r="Q291" t="s">
        <v>24</v>
      </c>
    </row>
    <row r="292" spans="1:17" ht="15">
      <c r="A292" t="s">
        <v>17</v>
      </c>
      <c r="B292" s="1">
        <v>43152</v>
      </c>
      <c r="C292" t="s">
        <v>376</v>
      </c>
      <c r="D292" t="str">
        <f>CONCATENATE("0070020039","")</f>
        <v>0070020039</v>
      </c>
      <c r="E292" t="str">
        <f>CONCATENATE("0030230000538       ","")</f>
        <v>0030230000538       </v>
      </c>
      <c r="F292" t="str">
        <f>CONCATENATE("605935923","")</f>
        <v>605935923</v>
      </c>
      <c r="G292" t="s">
        <v>555</v>
      </c>
      <c r="H292" t="s">
        <v>580</v>
      </c>
      <c r="I292" t="s">
        <v>581</v>
      </c>
      <c r="J292" t="str">
        <f t="shared" si="33"/>
        <v>080302</v>
      </c>
      <c r="K292" t="s">
        <v>22</v>
      </c>
      <c r="L292" t="s">
        <v>23</v>
      </c>
      <c r="M292" t="str">
        <f t="shared" si="35"/>
        <v>1</v>
      </c>
      <c r="O292" t="str">
        <f t="shared" si="34"/>
        <v>1 </v>
      </c>
      <c r="P292">
        <v>17.95</v>
      </c>
      <c r="Q292" t="s">
        <v>24</v>
      </c>
    </row>
    <row r="293" spans="1:17" ht="15">
      <c r="A293" t="s">
        <v>17</v>
      </c>
      <c r="B293" s="1">
        <v>43152</v>
      </c>
      <c r="C293" t="s">
        <v>376</v>
      </c>
      <c r="D293" t="str">
        <f>CONCATENATE("0070002816","")</f>
        <v>0070002816</v>
      </c>
      <c r="E293" t="str">
        <f>CONCATENATE("0030230000570       ","")</f>
        <v>0030230000570       </v>
      </c>
      <c r="F293" t="str">
        <f>CONCATENATE("605274922","")</f>
        <v>605274922</v>
      </c>
      <c r="G293" t="s">
        <v>555</v>
      </c>
      <c r="H293" t="s">
        <v>582</v>
      </c>
      <c r="I293" t="s">
        <v>569</v>
      </c>
      <c r="J293" t="str">
        <f t="shared" si="33"/>
        <v>080302</v>
      </c>
      <c r="K293" t="s">
        <v>22</v>
      </c>
      <c r="L293" t="s">
        <v>23</v>
      </c>
      <c r="M293" t="str">
        <f t="shared" si="35"/>
        <v>1</v>
      </c>
      <c r="O293" t="str">
        <f t="shared" si="34"/>
        <v>1 </v>
      </c>
      <c r="P293">
        <v>13.6</v>
      </c>
      <c r="Q293" t="s">
        <v>24</v>
      </c>
    </row>
    <row r="294" spans="1:17" ht="15">
      <c r="A294" t="s">
        <v>17</v>
      </c>
      <c r="B294" s="1">
        <v>43152</v>
      </c>
      <c r="C294" t="s">
        <v>376</v>
      </c>
      <c r="D294" t="str">
        <f>CONCATENATE("0070002817","")</f>
        <v>0070002817</v>
      </c>
      <c r="E294" t="str">
        <f>CONCATENATE("0030230000580       ","")</f>
        <v>0030230000580       </v>
      </c>
      <c r="F294" t="str">
        <f>CONCATENATE("605274919","")</f>
        <v>605274919</v>
      </c>
      <c r="G294" t="s">
        <v>555</v>
      </c>
      <c r="H294" t="s">
        <v>583</v>
      </c>
      <c r="I294" t="s">
        <v>569</v>
      </c>
      <c r="J294" t="str">
        <f t="shared" si="33"/>
        <v>080302</v>
      </c>
      <c r="K294" t="s">
        <v>22</v>
      </c>
      <c r="L294" t="s">
        <v>23</v>
      </c>
      <c r="M294" t="str">
        <f t="shared" si="35"/>
        <v>1</v>
      </c>
      <c r="O294" t="str">
        <f t="shared" si="34"/>
        <v>1 </v>
      </c>
      <c r="P294">
        <v>31.05</v>
      </c>
      <c r="Q294" t="s">
        <v>24</v>
      </c>
    </row>
    <row r="295" spans="1:17" ht="15">
      <c r="A295" t="s">
        <v>17</v>
      </c>
      <c r="B295" s="1">
        <v>43152</v>
      </c>
      <c r="C295" t="s">
        <v>376</v>
      </c>
      <c r="D295" t="str">
        <f>CONCATENATE("0070002818","")</f>
        <v>0070002818</v>
      </c>
      <c r="E295" t="str">
        <f>CONCATENATE("0030230000590       ","")</f>
        <v>0030230000590       </v>
      </c>
      <c r="F295" t="str">
        <f>CONCATENATE("605274924","")</f>
        <v>605274924</v>
      </c>
      <c r="G295" t="s">
        <v>555</v>
      </c>
      <c r="H295" t="s">
        <v>584</v>
      </c>
      <c r="I295" t="s">
        <v>569</v>
      </c>
      <c r="J295" t="str">
        <f t="shared" si="33"/>
        <v>080302</v>
      </c>
      <c r="K295" t="s">
        <v>22</v>
      </c>
      <c r="L295" t="s">
        <v>23</v>
      </c>
      <c r="M295" t="str">
        <f t="shared" si="35"/>
        <v>1</v>
      </c>
      <c r="O295" t="str">
        <f t="shared" si="34"/>
        <v>1 </v>
      </c>
      <c r="P295">
        <v>58.4</v>
      </c>
      <c r="Q295" t="s">
        <v>24</v>
      </c>
    </row>
    <row r="296" spans="1:17" ht="15">
      <c r="A296" t="s">
        <v>17</v>
      </c>
      <c r="B296" s="1">
        <v>43152</v>
      </c>
      <c r="C296" t="s">
        <v>376</v>
      </c>
      <c r="D296" t="str">
        <f>CONCATENATE("0070017427","")</f>
        <v>0070017427</v>
      </c>
      <c r="E296" t="str">
        <f>CONCATENATE("0030230000595       ","")</f>
        <v>0030230000595       </v>
      </c>
      <c r="F296" t="str">
        <f>CONCATENATE("605556730","")</f>
        <v>605556730</v>
      </c>
      <c r="G296" t="s">
        <v>552</v>
      </c>
      <c r="H296" t="s">
        <v>585</v>
      </c>
      <c r="I296" t="s">
        <v>586</v>
      </c>
      <c r="J296" t="str">
        <f t="shared" si="33"/>
        <v>080302</v>
      </c>
      <c r="K296" t="s">
        <v>22</v>
      </c>
      <c r="L296" t="s">
        <v>23</v>
      </c>
      <c r="M296" t="str">
        <f t="shared" si="35"/>
        <v>1</v>
      </c>
      <c r="O296" t="str">
        <f>CONCATENATE("3 ","")</f>
        <v>3 </v>
      </c>
      <c r="P296">
        <v>176.1</v>
      </c>
      <c r="Q296" t="s">
        <v>24</v>
      </c>
    </row>
    <row r="297" spans="1:17" ht="15">
      <c r="A297" t="s">
        <v>17</v>
      </c>
      <c r="B297" s="1">
        <v>43152</v>
      </c>
      <c r="C297" t="s">
        <v>587</v>
      </c>
      <c r="D297" t="str">
        <f>CONCATENATE("0070012017","")</f>
        <v>0070012017</v>
      </c>
      <c r="E297" t="str">
        <f>CONCATENATE("0030232000160       ","")</f>
        <v>0030232000160       </v>
      </c>
      <c r="F297" t="str">
        <f>CONCATENATE("605771813","")</f>
        <v>605771813</v>
      </c>
      <c r="G297" t="s">
        <v>588</v>
      </c>
      <c r="H297" t="s">
        <v>589</v>
      </c>
      <c r="I297" t="s">
        <v>590</v>
      </c>
      <c r="J297" t="str">
        <f aca="true" t="shared" si="36" ref="J297:J312">CONCATENATE("080306","")</f>
        <v>080306</v>
      </c>
      <c r="K297" t="s">
        <v>22</v>
      </c>
      <c r="L297" t="s">
        <v>23</v>
      </c>
      <c r="M297" t="str">
        <f t="shared" si="35"/>
        <v>1</v>
      </c>
      <c r="O297" t="str">
        <f>CONCATENATE("2 ","")</f>
        <v>2 </v>
      </c>
      <c r="P297">
        <v>18.85</v>
      </c>
      <c r="Q297" t="s">
        <v>24</v>
      </c>
    </row>
    <row r="298" spans="1:17" ht="15">
      <c r="A298" t="s">
        <v>17</v>
      </c>
      <c r="B298" s="1">
        <v>43152</v>
      </c>
      <c r="C298" t="s">
        <v>587</v>
      </c>
      <c r="D298" t="str">
        <f>CONCATENATE("0070014912","")</f>
        <v>0070014912</v>
      </c>
      <c r="E298" t="str">
        <f>CONCATENATE("0030233000015       ","")</f>
        <v>0030233000015       </v>
      </c>
      <c r="F298" t="str">
        <f>CONCATENATE("606674585","")</f>
        <v>606674585</v>
      </c>
      <c r="G298" t="s">
        <v>591</v>
      </c>
      <c r="H298" t="s">
        <v>592</v>
      </c>
      <c r="I298" t="s">
        <v>593</v>
      </c>
      <c r="J298" t="str">
        <f t="shared" si="36"/>
        <v>080306</v>
      </c>
      <c r="K298" t="s">
        <v>22</v>
      </c>
      <c r="L298" t="s">
        <v>23</v>
      </c>
      <c r="M298" t="str">
        <f t="shared" si="35"/>
        <v>1</v>
      </c>
      <c r="O298" t="str">
        <f>CONCATENATE("1 ","")</f>
        <v>1 </v>
      </c>
      <c r="P298">
        <v>19.4</v>
      </c>
      <c r="Q298" t="s">
        <v>24</v>
      </c>
    </row>
    <row r="299" spans="1:17" ht="15">
      <c r="A299" t="s">
        <v>17</v>
      </c>
      <c r="B299" s="1">
        <v>43152</v>
      </c>
      <c r="C299" t="s">
        <v>587</v>
      </c>
      <c r="D299" t="str">
        <f>CONCATENATE("0070022934","")</f>
        <v>0070022934</v>
      </c>
      <c r="E299" t="str">
        <f>CONCATENATE("0030233000040       ","")</f>
        <v>0030233000040       </v>
      </c>
      <c r="F299" t="str">
        <f>CONCATENATE("2191886","")</f>
        <v>2191886</v>
      </c>
      <c r="G299" t="s">
        <v>591</v>
      </c>
      <c r="H299" t="s">
        <v>594</v>
      </c>
      <c r="I299" t="s">
        <v>595</v>
      </c>
      <c r="J299" t="str">
        <f t="shared" si="36"/>
        <v>080306</v>
      </c>
      <c r="K299" t="s">
        <v>22</v>
      </c>
      <c r="L299" t="s">
        <v>23</v>
      </c>
      <c r="M299" t="str">
        <f t="shared" si="35"/>
        <v>1</v>
      </c>
      <c r="O299" t="str">
        <f>CONCATENATE("2 ","")</f>
        <v>2 </v>
      </c>
      <c r="P299">
        <v>43.5</v>
      </c>
      <c r="Q299" t="s">
        <v>24</v>
      </c>
    </row>
    <row r="300" spans="1:17" ht="15">
      <c r="A300" t="s">
        <v>17</v>
      </c>
      <c r="B300" s="1">
        <v>43152</v>
      </c>
      <c r="C300" t="s">
        <v>587</v>
      </c>
      <c r="D300" t="str">
        <f>CONCATENATE("0070011985","")</f>
        <v>0070011985</v>
      </c>
      <c r="E300" t="str">
        <f>CONCATENATE("0030233000160       ","")</f>
        <v>0030233000160       </v>
      </c>
      <c r="F300" t="str">
        <f>CONCATENATE("605771292","")</f>
        <v>605771292</v>
      </c>
      <c r="G300" t="s">
        <v>591</v>
      </c>
      <c r="H300" t="s">
        <v>596</v>
      </c>
      <c r="I300" t="s">
        <v>597</v>
      </c>
      <c r="J300" t="str">
        <f t="shared" si="36"/>
        <v>080306</v>
      </c>
      <c r="K300" t="s">
        <v>22</v>
      </c>
      <c r="L300" t="s">
        <v>23</v>
      </c>
      <c r="M300" t="str">
        <f t="shared" si="35"/>
        <v>1</v>
      </c>
      <c r="O300" t="str">
        <f>CONCATENATE("1 ","")</f>
        <v>1 </v>
      </c>
      <c r="P300">
        <v>19</v>
      </c>
      <c r="Q300" t="s">
        <v>24</v>
      </c>
    </row>
    <row r="301" spans="1:17" ht="15">
      <c r="A301" t="s">
        <v>17</v>
      </c>
      <c r="B301" s="1">
        <v>43152</v>
      </c>
      <c r="C301" t="s">
        <v>587</v>
      </c>
      <c r="D301" t="str">
        <f>CONCATENATE("0070012054","")</f>
        <v>0070012054</v>
      </c>
      <c r="E301" t="str">
        <f>CONCATENATE("0030233000180       ","")</f>
        <v>0030233000180       </v>
      </c>
      <c r="F301" t="str">
        <f>CONCATENATE("605771290","")</f>
        <v>605771290</v>
      </c>
      <c r="G301" t="s">
        <v>591</v>
      </c>
      <c r="H301" t="s">
        <v>598</v>
      </c>
      <c r="I301" t="s">
        <v>597</v>
      </c>
      <c r="J301" t="str">
        <f t="shared" si="36"/>
        <v>080306</v>
      </c>
      <c r="K301" t="s">
        <v>22</v>
      </c>
      <c r="L301" t="s">
        <v>23</v>
      </c>
      <c r="M301" t="str">
        <f t="shared" si="35"/>
        <v>1</v>
      </c>
      <c r="O301" t="str">
        <f>CONCATENATE("1 ","")</f>
        <v>1 </v>
      </c>
      <c r="P301">
        <v>17.45</v>
      </c>
      <c r="Q301" t="s">
        <v>24</v>
      </c>
    </row>
    <row r="302" spans="1:17" ht="15">
      <c r="A302" t="s">
        <v>17</v>
      </c>
      <c r="B302" s="1">
        <v>43152</v>
      </c>
      <c r="C302" t="s">
        <v>587</v>
      </c>
      <c r="D302" t="str">
        <f>CONCATENATE("0070011994","")</f>
        <v>0070011994</v>
      </c>
      <c r="E302" t="str">
        <f>CONCATENATE("0030233000380       ","")</f>
        <v>0030233000380       </v>
      </c>
      <c r="F302" t="str">
        <f>CONCATENATE("605771296","")</f>
        <v>605771296</v>
      </c>
      <c r="G302" t="s">
        <v>591</v>
      </c>
      <c r="H302" t="s">
        <v>599</v>
      </c>
      <c r="I302" t="s">
        <v>597</v>
      </c>
      <c r="J302" t="str">
        <f t="shared" si="36"/>
        <v>080306</v>
      </c>
      <c r="K302" t="s">
        <v>22</v>
      </c>
      <c r="L302" t="s">
        <v>23</v>
      </c>
      <c r="M302" t="str">
        <f t="shared" si="35"/>
        <v>1</v>
      </c>
      <c r="O302" t="str">
        <f>CONCATENATE("3 ","")</f>
        <v>3 </v>
      </c>
      <c r="P302">
        <v>30.3</v>
      </c>
      <c r="Q302" t="s">
        <v>24</v>
      </c>
    </row>
    <row r="303" spans="1:17" ht="15">
      <c r="A303" t="s">
        <v>17</v>
      </c>
      <c r="B303" s="1">
        <v>43152</v>
      </c>
      <c r="C303" t="s">
        <v>587</v>
      </c>
      <c r="D303" t="str">
        <f>CONCATENATE("0070011969","")</f>
        <v>0070011969</v>
      </c>
      <c r="E303" t="str">
        <f>CONCATENATE("0030233000500       ","")</f>
        <v>0030233000500       </v>
      </c>
      <c r="F303" t="str">
        <f>CONCATENATE("605771288","")</f>
        <v>605771288</v>
      </c>
      <c r="G303" t="s">
        <v>591</v>
      </c>
      <c r="H303" t="s">
        <v>600</v>
      </c>
      <c r="I303" t="s">
        <v>597</v>
      </c>
      <c r="J303" t="str">
        <f t="shared" si="36"/>
        <v>080306</v>
      </c>
      <c r="K303" t="s">
        <v>22</v>
      </c>
      <c r="L303" t="s">
        <v>23</v>
      </c>
      <c r="M303" t="str">
        <f t="shared" si="35"/>
        <v>1</v>
      </c>
      <c r="O303" t="str">
        <f>CONCATENATE("1 ","")</f>
        <v>1 </v>
      </c>
      <c r="P303">
        <v>24.65</v>
      </c>
      <c r="Q303" t="s">
        <v>24</v>
      </c>
    </row>
    <row r="304" spans="1:17" ht="15">
      <c r="A304" t="s">
        <v>17</v>
      </c>
      <c r="B304" s="1">
        <v>43152</v>
      </c>
      <c r="C304" t="s">
        <v>587</v>
      </c>
      <c r="D304" t="str">
        <f>CONCATENATE("0070011970","")</f>
        <v>0070011970</v>
      </c>
      <c r="E304" t="str">
        <f>CONCATENATE("0030233000540       ","")</f>
        <v>0030233000540       </v>
      </c>
      <c r="F304" t="str">
        <f>CONCATENATE("605771955","")</f>
        <v>605771955</v>
      </c>
      <c r="G304" t="s">
        <v>591</v>
      </c>
      <c r="H304" t="s">
        <v>601</v>
      </c>
      <c r="I304" t="s">
        <v>597</v>
      </c>
      <c r="J304" t="str">
        <f t="shared" si="36"/>
        <v>080306</v>
      </c>
      <c r="K304" t="s">
        <v>22</v>
      </c>
      <c r="L304" t="s">
        <v>23</v>
      </c>
      <c r="M304" t="str">
        <f t="shared" si="35"/>
        <v>1</v>
      </c>
      <c r="O304" t="str">
        <f>CONCATENATE("4 ","")</f>
        <v>4 </v>
      </c>
      <c r="P304">
        <v>36.8</v>
      </c>
      <c r="Q304" t="s">
        <v>24</v>
      </c>
    </row>
    <row r="305" spans="1:17" ht="15">
      <c r="A305" t="s">
        <v>17</v>
      </c>
      <c r="B305" s="1">
        <v>43152</v>
      </c>
      <c r="C305" t="s">
        <v>587</v>
      </c>
      <c r="D305" t="str">
        <f>CONCATENATE("0070011989","")</f>
        <v>0070011989</v>
      </c>
      <c r="E305" t="str">
        <f>CONCATENATE("0030234000020       ","")</f>
        <v>0030234000020       </v>
      </c>
      <c r="F305" t="str">
        <f>CONCATENATE("606082268","")</f>
        <v>606082268</v>
      </c>
      <c r="G305" t="s">
        <v>602</v>
      </c>
      <c r="H305" t="s">
        <v>603</v>
      </c>
      <c r="I305" t="s">
        <v>604</v>
      </c>
      <c r="J305" t="str">
        <f t="shared" si="36"/>
        <v>080306</v>
      </c>
      <c r="K305" t="s">
        <v>22</v>
      </c>
      <c r="L305" t="s">
        <v>23</v>
      </c>
      <c r="M305" t="str">
        <f t="shared" si="35"/>
        <v>1</v>
      </c>
      <c r="O305" t="str">
        <f>CONCATENATE("2 ","")</f>
        <v>2 </v>
      </c>
      <c r="P305">
        <v>16.15</v>
      </c>
      <c r="Q305" t="s">
        <v>24</v>
      </c>
    </row>
    <row r="306" spans="1:17" ht="15">
      <c r="A306" t="s">
        <v>17</v>
      </c>
      <c r="B306" s="1">
        <v>43152</v>
      </c>
      <c r="C306" t="s">
        <v>587</v>
      </c>
      <c r="D306" t="str">
        <f>CONCATENATE("0070025274","")</f>
        <v>0070025274</v>
      </c>
      <c r="E306" t="str">
        <f>CONCATENATE("0030235000325       ","")</f>
        <v>0030235000325       </v>
      </c>
      <c r="F306" t="str">
        <f>CONCATENATE("606898320","")</f>
        <v>606898320</v>
      </c>
      <c r="G306" t="s">
        <v>605</v>
      </c>
      <c r="H306" t="s">
        <v>606</v>
      </c>
      <c r="I306" t="s">
        <v>607</v>
      </c>
      <c r="J306" t="str">
        <f t="shared" si="36"/>
        <v>080306</v>
      </c>
      <c r="K306" t="s">
        <v>22</v>
      </c>
      <c r="L306" t="s">
        <v>23</v>
      </c>
      <c r="M306" t="str">
        <f t="shared" si="35"/>
        <v>1</v>
      </c>
      <c r="O306" t="str">
        <f>CONCATENATE("1 ","")</f>
        <v>1 </v>
      </c>
      <c r="P306">
        <v>23.35</v>
      </c>
      <c r="Q306" t="s">
        <v>24</v>
      </c>
    </row>
    <row r="307" spans="1:17" ht="15">
      <c r="A307" t="s">
        <v>17</v>
      </c>
      <c r="B307" s="1">
        <v>43152</v>
      </c>
      <c r="C307" t="s">
        <v>587</v>
      </c>
      <c r="D307" t="str">
        <f>CONCATENATE("0070012647","")</f>
        <v>0070012647</v>
      </c>
      <c r="E307" t="str">
        <f>CONCATENATE("0030235000960       ","")</f>
        <v>0030235000960       </v>
      </c>
      <c r="F307" t="str">
        <f>CONCATENATE("605743781","")</f>
        <v>605743781</v>
      </c>
      <c r="G307" t="s">
        <v>605</v>
      </c>
      <c r="H307" t="s">
        <v>608</v>
      </c>
      <c r="I307" t="s">
        <v>609</v>
      </c>
      <c r="J307" t="str">
        <f t="shared" si="36"/>
        <v>080306</v>
      </c>
      <c r="K307" t="s">
        <v>22</v>
      </c>
      <c r="L307" t="s">
        <v>23</v>
      </c>
      <c r="M307" t="str">
        <f t="shared" si="35"/>
        <v>1</v>
      </c>
      <c r="O307" t="str">
        <f>CONCATENATE("1 ","")</f>
        <v>1 </v>
      </c>
      <c r="P307">
        <v>13.5</v>
      </c>
      <c r="Q307" t="s">
        <v>24</v>
      </c>
    </row>
    <row r="308" spans="1:17" ht="15">
      <c r="A308" t="s">
        <v>17</v>
      </c>
      <c r="B308" s="1">
        <v>43152</v>
      </c>
      <c r="C308" t="s">
        <v>587</v>
      </c>
      <c r="D308" t="str">
        <f>CONCATENATE("0070022045","")</f>
        <v>0070022045</v>
      </c>
      <c r="E308" t="str">
        <f>CONCATENATE("0030235000970       ","")</f>
        <v>0030235000970       </v>
      </c>
      <c r="F308" t="str">
        <f>CONCATENATE("1936940","")</f>
        <v>1936940</v>
      </c>
      <c r="G308" t="s">
        <v>605</v>
      </c>
      <c r="H308" t="s">
        <v>610</v>
      </c>
      <c r="I308" t="s">
        <v>611</v>
      </c>
      <c r="J308" t="str">
        <f t="shared" si="36"/>
        <v>080306</v>
      </c>
      <c r="K308" t="s">
        <v>22</v>
      </c>
      <c r="L308" t="s">
        <v>23</v>
      </c>
      <c r="M308" t="str">
        <f t="shared" si="35"/>
        <v>1</v>
      </c>
      <c r="O308" t="str">
        <f>CONCATENATE("6 ","")</f>
        <v>6 </v>
      </c>
      <c r="P308">
        <v>39.55</v>
      </c>
      <c r="Q308" t="s">
        <v>24</v>
      </c>
    </row>
    <row r="309" spans="1:17" ht="15">
      <c r="A309" t="s">
        <v>17</v>
      </c>
      <c r="B309" s="1">
        <v>43152</v>
      </c>
      <c r="C309" t="s">
        <v>587</v>
      </c>
      <c r="D309" t="str">
        <f>CONCATENATE("0070012800","")</f>
        <v>0070012800</v>
      </c>
      <c r="E309" t="str">
        <f>CONCATENATE("0030236000350       ","")</f>
        <v>0030236000350       </v>
      </c>
      <c r="F309" t="str">
        <f>CONCATENATE("605741728","")</f>
        <v>605741728</v>
      </c>
      <c r="G309" t="s">
        <v>612</v>
      </c>
      <c r="H309" t="s">
        <v>613</v>
      </c>
      <c r="I309" t="s">
        <v>614</v>
      </c>
      <c r="J309" t="str">
        <f t="shared" si="36"/>
        <v>080306</v>
      </c>
      <c r="K309" t="s">
        <v>22</v>
      </c>
      <c r="L309" t="s">
        <v>23</v>
      </c>
      <c r="M309" t="str">
        <f t="shared" si="35"/>
        <v>1</v>
      </c>
      <c r="O309" t="str">
        <f>CONCATENATE("1 ","")</f>
        <v>1 </v>
      </c>
      <c r="P309">
        <v>82.3</v>
      </c>
      <c r="Q309" t="s">
        <v>24</v>
      </c>
    </row>
    <row r="310" spans="1:17" ht="15">
      <c r="A310" t="s">
        <v>17</v>
      </c>
      <c r="B310" s="1">
        <v>43152</v>
      </c>
      <c r="C310" t="s">
        <v>587</v>
      </c>
      <c r="D310" t="str">
        <f>CONCATENATE("0070012325","")</f>
        <v>0070012325</v>
      </c>
      <c r="E310" t="str">
        <f>CONCATENATE("0030237000030       ","")</f>
        <v>0030237000030       </v>
      </c>
      <c r="F310" t="str">
        <f>CONCATENATE("605750925","")</f>
        <v>605750925</v>
      </c>
      <c r="G310" t="s">
        <v>615</v>
      </c>
      <c r="H310" t="s">
        <v>616</v>
      </c>
      <c r="I310" t="s">
        <v>617</v>
      </c>
      <c r="J310" t="str">
        <f t="shared" si="36"/>
        <v>080306</v>
      </c>
      <c r="K310" t="s">
        <v>22</v>
      </c>
      <c r="L310" t="s">
        <v>23</v>
      </c>
      <c r="M310" t="str">
        <f t="shared" si="35"/>
        <v>1</v>
      </c>
      <c r="O310" t="str">
        <f>CONCATENATE("1 ","")</f>
        <v>1 </v>
      </c>
      <c r="P310">
        <v>15.85</v>
      </c>
      <c r="Q310" t="s">
        <v>24</v>
      </c>
    </row>
    <row r="311" spans="1:17" ht="15">
      <c r="A311" t="s">
        <v>17</v>
      </c>
      <c r="B311" s="1">
        <v>43152</v>
      </c>
      <c r="C311" t="s">
        <v>587</v>
      </c>
      <c r="D311" t="str">
        <f>CONCATENATE("0070012860","")</f>
        <v>0070012860</v>
      </c>
      <c r="E311" t="str">
        <f>CONCATENATE("0030238000035       ","")</f>
        <v>0030238000035       </v>
      </c>
      <c r="F311" t="str">
        <f>CONCATENATE("605773113","")</f>
        <v>605773113</v>
      </c>
      <c r="G311" t="s">
        <v>618</v>
      </c>
      <c r="H311" t="s">
        <v>619</v>
      </c>
      <c r="I311" t="s">
        <v>620</v>
      </c>
      <c r="J311" t="str">
        <f t="shared" si="36"/>
        <v>080306</v>
      </c>
      <c r="K311" t="s">
        <v>22</v>
      </c>
      <c r="L311" t="s">
        <v>23</v>
      </c>
      <c r="M311" t="str">
        <f t="shared" si="35"/>
        <v>1</v>
      </c>
      <c r="O311" t="str">
        <f>CONCATENATE("2 ","")</f>
        <v>2 </v>
      </c>
      <c r="P311">
        <v>15.95</v>
      </c>
      <c r="Q311" t="s">
        <v>24</v>
      </c>
    </row>
    <row r="312" spans="1:17" ht="15">
      <c r="A312" t="s">
        <v>17</v>
      </c>
      <c r="B312" s="1">
        <v>43152</v>
      </c>
      <c r="C312" t="s">
        <v>587</v>
      </c>
      <c r="D312" t="str">
        <f>CONCATENATE("0070012667","")</f>
        <v>0070012667</v>
      </c>
      <c r="E312" t="str">
        <f>CONCATENATE("0030238000250       ","")</f>
        <v>0030238000250       </v>
      </c>
      <c r="F312" t="str">
        <f>CONCATENATE("605773105","")</f>
        <v>605773105</v>
      </c>
      <c r="G312" t="s">
        <v>618</v>
      </c>
      <c r="H312" t="s">
        <v>621</v>
      </c>
      <c r="I312" t="s">
        <v>620</v>
      </c>
      <c r="J312" t="str">
        <f t="shared" si="36"/>
        <v>080306</v>
      </c>
      <c r="K312" t="s">
        <v>22</v>
      </c>
      <c r="L312" t="s">
        <v>23</v>
      </c>
      <c r="M312" t="str">
        <f t="shared" si="35"/>
        <v>1</v>
      </c>
      <c r="O312" t="str">
        <f>CONCATENATE("1 ","")</f>
        <v>1 </v>
      </c>
      <c r="P312">
        <v>10.6</v>
      </c>
      <c r="Q312" t="s">
        <v>24</v>
      </c>
    </row>
    <row r="313" spans="1:17" ht="15">
      <c r="A313" t="s">
        <v>17</v>
      </c>
      <c r="B313" s="1">
        <v>43152</v>
      </c>
      <c r="C313" t="s">
        <v>376</v>
      </c>
      <c r="D313" t="str">
        <f>CONCATENATE("0070011329","")</f>
        <v>0070011329</v>
      </c>
      <c r="E313" t="str">
        <f>CONCATENATE("0030240000060       ","")</f>
        <v>0030240000060       </v>
      </c>
      <c r="F313" t="str">
        <f>CONCATENATE("605771827","")</f>
        <v>605771827</v>
      </c>
      <c r="G313" t="s">
        <v>622</v>
      </c>
      <c r="H313" t="s">
        <v>623</v>
      </c>
      <c r="I313" t="s">
        <v>624</v>
      </c>
      <c r="J313" t="str">
        <f>CONCATENATE("080302","")</f>
        <v>080302</v>
      </c>
      <c r="K313" t="s">
        <v>22</v>
      </c>
      <c r="L313" t="s">
        <v>23</v>
      </c>
      <c r="M313" t="str">
        <f t="shared" si="35"/>
        <v>1</v>
      </c>
      <c r="O313" t="str">
        <f>CONCATENATE("1 ","")</f>
        <v>1 </v>
      </c>
      <c r="P313">
        <v>17.5</v>
      </c>
      <c r="Q313" t="s">
        <v>24</v>
      </c>
    </row>
    <row r="314" spans="1:17" ht="15">
      <c r="A314" t="s">
        <v>17</v>
      </c>
      <c r="B314" s="1">
        <v>43152</v>
      </c>
      <c r="C314" t="s">
        <v>376</v>
      </c>
      <c r="D314" t="str">
        <f>CONCATENATE("0070011365","")</f>
        <v>0070011365</v>
      </c>
      <c r="E314" t="str">
        <f>CONCATENATE("0030240000080       ","")</f>
        <v>0030240000080       </v>
      </c>
      <c r="F314" t="str">
        <f>CONCATENATE("605773103","")</f>
        <v>605773103</v>
      </c>
      <c r="G314" t="s">
        <v>622</v>
      </c>
      <c r="H314" t="s">
        <v>625</v>
      </c>
      <c r="I314" t="s">
        <v>624</v>
      </c>
      <c r="J314" t="str">
        <f>CONCATENATE("080302","")</f>
        <v>080302</v>
      </c>
      <c r="K314" t="s">
        <v>22</v>
      </c>
      <c r="L314" t="s">
        <v>23</v>
      </c>
      <c r="M314" t="str">
        <f t="shared" si="35"/>
        <v>1</v>
      </c>
      <c r="O314" t="str">
        <f>CONCATENATE("1 ","")</f>
        <v>1 </v>
      </c>
      <c r="P314">
        <v>21.55</v>
      </c>
      <c r="Q314" t="s">
        <v>24</v>
      </c>
    </row>
    <row r="315" spans="1:17" ht="15">
      <c r="A315" t="s">
        <v>17</v>
      </c>
      <c r="B315" s="1">
        <v>43152</v>
      </c>
      <c r="C315" t="s">
        <v>376</v>
      </c>
      <c r="D315" t="str">
        <f>CONCATENATE("0070025513","")</f>
        <v>0070025513</v>
      </c>
      <c r="E315" t="str">
        <f>CONCATENATE("0030240000175       ","")</f>
        <v>0030240000175       </v>
      </c>
      <c r="F315" t="str">
        <f>CONCATENATE("607450301","")</f>
        <v>607450301</v>
      </c>
      <c r="G315" t="s">
        <v>626</v>
      </c>
      <c r="H315" t="s">
        <v>627</v>
      </c>
      <c r="I315" t="s">
        <v>628</v>
      </c>
      <c r="J315" t="str">
        <f>CONCATENATE("080306","")</f>
        <v>080306</v>
      </c>
      <c r="K315" t="s">
        <v>22</v>
      </c>
      <c r="L315" t="s">
        <v>23</v>
      </c>
      <c r="M315" t="str">
        <f t="shared" si="35"/>
        <v>1</v>
      </c>
      <c r="O315" t="str">
        <f>CONCATENATE("1 ","")</f>
        <v>1 </v>
      </c>
      <c r="P315">
        <v>11.95</v>
      </c>
      <c r="Q315" t="s">
        <v>24</v>
      </c>
    </row>
    <row r="316" spans="1:17" ht="15">
      <c r="A316" t="s">
        <v>17</v>
      </c>
      <c r="B316" s="1">
        <v>43152</v>
      </c>
      <c r="C316" t="s">
        <v>104</v>
      </c>
      <c r="D316" t="str">
        <f>CONCATENATE("0070023953","")</f>
        <v>0070023953</v>
      </c>
      <c r="E316" t="str">
        <f>CONCATENATE("0030301000035       ","")</f>
        <v>0030301000035       </v>
      </c>
      <c r="F316" t="str">
        <f>CONCATENATE("606753424","")</f>
        <v>606753424</v>
      </c>
      <c r="G316" t="s">
        <v>629</v>
      </c>
      <c r="H316" t="s">
        <v>630</v>
      </c>
      <c r="I316" t="s">
        <v>631</v>
      </c>
      <c r="J316" t="str">
        <f aca="true" t="shared" si="37" ref="J316:J333">CONCATENATE("080303","")</f>
        <v>080303</v>
      </c>
      <c r="K316" t="s">
        <v>22</v>
      </c>
      <c r="L316" t="s">
        <v>23</v>
      </c>
      <c r="M316" t="str">
        <f t="shared" si="35"/>
        <v>1</v>
      </c>
      <c r="O316" t="str">
        <f>CONCATENATE("3 ","")</f>
        <v>3 </v>
      </c>
      <c r="P316">
        <v>27.7</v>
      </c>
      <c r="Q316" t="s">
        <v>24</v>
      </c>
    </row>
    <row r="317" spans="1:17" ht="15">
      <c r="A317" t="s">
        <v>17</v>
      </c>
      <c r="B317" s="1">
        <v>43152</v>
      </c>
      <c r="C317" t="s">
        <v>104</v>
      </c>
      <c r="D317" t="str">
        <f>CONCATENATE("0070023190","")</f>
        <v>0070023190</v>
      </c>
      <c r="E317" t="str">
        <f>CONCATENATE("0030301000082       ","")</f>
        <v>0030301000082       </v>
      </c>
      <c r="F317" t="str">
        <f>CONCATENATE("606593887","")</f>
        <v>606593887</v>
      </c>
      <c r="G317" t="s">
        <v>632</v>
      </c>
      <c r="H317" t="s">
        <v>633</v>
      </c>
      <c r="I317" t="s">
        <v>634</v>
      </c>
      <c r="J317" t="str">
        <f t="shared" si="37"/>
        <v>080303</v>
      </c>
      <c r="K317" t="s">
        <v>22</v>
      </c>
      <c r="L317" t="s">
        <v>23</v>
      </c>
      <c r="M317" t="str">
        <f t="shared" si="35"/>
        <v>1</v>
      </c>
      <c r="O317" t="str">
        <f>CONCATENATE("1 ","")</f>
        <v>1 </v>
      </c>
      <c r="P317">
        <v>12.1</v>
      </c>
      <c r="Q317" t="s">
        <v>24</v>
      </c>
    </row>
    <row r="318" spans="1:17" ht="15">
      <c r="A318" t="s">
        <v>17</v>
      </c>
      <c r="B318" s="1">
        <v>43152</v>
      </c>
      <c r="C318" t="s">
        <v>104</v>
      </c>
      <c r="D318" t="str">
        <f>CONCATENATE("0070022526","")</f>
        <v>0070022526</v>
      </c>
      <c r="E318" t="str">
        <f>CONCATENATE("0030301000236       ","")</f>
        <v>0030301000236       </v>
      </c>
      <c r="F318" t="str">
        <f>CONCATENATE("2120731","")</f>
        <v>2120731</v>
      </c>
      <c r="G318" t="s">
        <v>635</v>
      </c>
      <c r="H318" t="s">
        <v>636</v>
      </c>
      <c r="I318" t="s">
        <v>637</v>
      </c>
      <c r="J318" t="str">
        <f t="shared" si="37"/>
        <v>080303</v>
      </c>
      <c r="K318" t="s">
        <v>22</v>
      </c>
      <c r="L318" t="s">
        <v>23</v>
      </c>
      <c r="M318" t="str">
        <f t="shared" si="35"/>
        <v>1</v>
      </c>
      <c r="O318" t="str">
        <f>CONCATENATE("4 ","")</f>
        <v>4 </v>
      </c>
      <c r="P318">
        <v>25.15</v>
      </c>
      <c r="Q318" t="s">
        <v>24</v>
      </c>
    </row>
    <row r="319" spans="1:17" ht="15">
      <c r="A319" t="s">
        <v>17</v>
      </c>
      <c r="B319" s="1">
        <v>43152</v>
      </c>
      <c r="C319" t="s">
        <v>104</v>
      </c>
      <c r="D319" t="str">
        <f>CONCATENATE("0070002918","")</f>
        <v>0070002918</v>
      </c>
      <c r="E319" t="str">
        <f>CONCATENATE("0030301000290       ","")</f>
        <v>0030301000290       </v>
      </c>
      <c r="F319" t="str">
        <f>CONCATENATE("605741702","")</f>
        <v>605741702</v>
      </c>
      <c r="G319" t="s">
        <v>632</v>
      </c>
      <c r="H319" t="s">
        <v>638</v>
      </c>
      <c r="I319" t="s">
        <v>639</v>
      </c>
      <c r="J319" t="str">
        <f t="shared" si="37"/>
        <v>080303</v>
      </c>
      <c r="K319" t="s">
        <v>22</v>
      </c>
      <c r="L319" t="s">
        <v>23</v>
      </c>
      <c r="M319" t="str">
        <f t="shared" si="35"/>
        <v>1</v>
      </c>
      <c r="O319" t="str">
        <f>CONCATENATE("1 ","")</f>
        <v>1 </v>
      </c>
      <c r="P319">
        <v>67.45</v>
      </c>
      <c r="Q319" t="s">
        <v>24</v>
      </c>
    </row>
    <row r="320" spans="1:17" ht="15">
      <c r="A320" t="s">
        <v>17</v>
      </c>
      <c r="B320" s="1">
        <v>43152</v>
      </c>
      <c r="C320" t="s">
        <v>104</v>
      </c>
      <c r="D320" t="str">
        <f>CONCATENATE("0070016902","")</f>
        <v>0070016902</v>
      </c>
      <c r="E320" t="str">
        <f>CONCATENATE("0030301000342       ","")</f>
        <v>0030301000342       </v>
      </c>
      <c r="F320" t="str">
        <f>CONCATENATE("606897699","")</f>
        <v>606897699</v>
      </c>
      <c r="G320" t="s">
        <v>632</v>
      </c>
      <c r="H320" t="s">
        <v>640</v>
      </c>
      <c r="I320" t="s">
        <v>641</v>
      </c>
      <c r="J320" t="str">
        <f t="shared" si="37"/>
        <v>080303</v>
      </c>
      <c r="K320" t="s">
        <v>22</v>
      </c>
      <c r="L320" t="s">
        <v>23</v>
      </c>
      <c r="M320" t="str">
        <f t="shared" si="35"/>
        <v>1</v>
      </c>
      <c r="O320" t="str">
        <f>CONCATENATE("3 ","")</f>
        <v>3 </v>
      </c>
      <c r="P320">
        <v>146</v>
      </c>
      <c r="Q320" t="s">
        <v>24</v>
      </c>
    </row>
    <row r="321" spans="1:17" ht="15">
      <c r="A321" t="s">
        <v>17</v>
      </c>
      <c r="B321" s="1">
        <v>43152</v>
      </c>
      <c r="C321" t="s">
        <v>104</v>
      </c>
      <c r="D321" t="str">
        <f>CONCATENATE("0070027270","")</f>
        <v>0070027270</v>
      </c>
      <c r="E321" t="str">
        <f>CONCATENATE("0030301000408       ","")</f>
        <v>0030301000408       </v>
      </c>
      <c r="F321" t="str">
        <f>CONCATENATE("606896847","")</f>
        <v>606896847</v>
      </c>
      <c r="G321" t="s">
        <v>642</v>
      </c>
      <c r="H321" t="s">
        <v>643</v>
      </c>
      <c r="I321" t="s">
        <v>644</v>
      </c>
      <c r="J321" t="str">
        <f t="shared" si="37"/>
        <v>080303</v>
      </c>
      <c r="K321" t="s">
        <v>22</v>
      </c>
      <c r="L321" t="s">
        <v>23</v>
      </c>
      <c r="M321" t="str">
        <f aca="true" t="shared" si="38" ref="M321:M337">CONCATENATE("1","")</f>
        <v>1</v>
      </c>
      <c r="O321" t="str">
        <f>CONCATENATE("6 ","")</f>
        <v>6 </v>
      </c>
      <c r="P321">
        <v>41.2</v>
      </c>
      <c r="Q321" t="s">
        <v>24</v>
      </c>
    </row>
    <row r="322" spans="1:17" ht="15">
      <c r="A322" t="s">
        <v>17</v>
      </c>
      <c r="B322" s="1">
        <v>43152</v>
      </c>
      <c r="C322" t="s">
        <v>104</v>
      </c>
      <c r="D322" t="str">
        <f>CONCATENATE("0070014184","")</f>
        <v>0070014184</v>
      </c>
      <c r="E322" t="str">
        <f>CONCATENATE("0030301000470       ","")</f>
        <v>0030301000470       </v>
      </c>
      <c r="F322" t="str">
        <f>CONCATENATE("1808469","")</f>
        <v>1808469</v>
      </c>
      <c r="G322" t="s">
        <v>629</v>
      </c>
      <c r="H322" t="s">
        <v>645</v>
      </c>
      <c r="I322" t="s">
        <v>646</v>
      </c>
      <c r="J322" t="str">
        <f t="shared" si="37"/>
        <v>080303</v>
      </c>
      <c r="K322" t="s">
        <v>22</v>
      </c>
      <c r="L322" t="s">
        <v>23</v>
      </c>
      <c r="M322" t="str">
        <f t="shared" si="38"/>
        <v>1</v>
      </c>
      <c r="O322" t="str">
        <f>CONCATENATE("1 ","")</f>
        <v>1 </v>
      </c>
      <c r="P322">
        <v>119.75</v>
      </c>
      <c r="Q322" t="s">
        <v>24</v>
      </c>
    </row>
    <row r="323" spans="1:17" ht="15">
      <c r="A323" t="s">
        <v>17</v>
      </c>
      <c r="B323" s="1">
        <v>43152</v>
      </c>
      <c r="C323" t="s">
        <v>104</v>
      </c>
      <c r="D323" t="str">
        <f>CONCATENATE("0070020393","")</f>
        <v>0070020393</v>
      </c>
      <c r="E323" t="str">
        <f>CONCATENATE("0030301000579       ","")</f>
        <v>0030301000579       </v>
      </c>
      <c r="F323" t="str">
        <f>CONCATENATE("605941022","")</f>
        <v>605941022</v>
      </c>
      <c r="G323" t="s">
        <v>642</v>
      </c>
      <c r="H323" t="s">
        <v>647</v>
      </c>
      <c r="I323" t="s">
        <v>648</v>
      </c>
      <c r="J323" t="str">
        <f t="shared" si="37"/>
        <v>080303</v>
      </c>
      <c r="K323" t="s">
        <v>22</v>
      </c>
      <c r="L323" t="s">
        <v>23</v>
      </c>
      <c r="M323" t="str">
        <f t="shared" si="38"/>
        <v>1</v>
      </c>
      <c r="O323" t="str">
        <f>CONCATENATE("1 ","")</f>
        <v>1 </v>
      </c>
      <c r="P323">
        <v>17.45</v>
      </c>
      <c r="Q323" t="s">
        <v>24</v>
      </c>
    </row>
    <row r="324" spans="1:17" ht="15">
      <c r="A324" t="s">
        <v>17</v>
      </c>
      <c r="B324" s="1">
        <v>43152</v>
      </c>
      <c r="C324" t="s">
        <v>104</v>
      </c>
      <c r="D324" t="str">
        <f>CONCATENATE("0070014910","")</f>
        <v>0070014910</v>
      </c>
      <c r="E324" t="str">
        <f>CONCATENATE("0030301000717       ","")</f>
        <v>0030301000717       </v>
      </c>
      <c r="F324" t="str">
        <f>CONCATENATE("606755960","")</f>
        <v>606755960</v>
      </c>
      <c r="G324" t="s">
        <v>649</v>
      </c>
      <c r="H324" t="s">
        <v>650</v>
      </c>
      <c r="I324" t="s">
        <v>651</v>
      </c>
      <c r="J324" t="str">
        <f t="shared" si="37"/>
        <v>080303</v>
      </c>
      <c r="K324" t="s">
        <v>22</v>
      </c>
      <c r="L324" t="s">
        <v>23</v>
      </c>
      <c r="M324" t="str">
        <f t="shared" si="38"/>
        <v>1</v>
      </c>
      <c r="O324" t="str">
        <f>CONCATENATE("1 ","")</f>
        <v>1 </v>
      </c>
      <c r="P324">
        <v>24.85</v>
      </c>
      <c r="Q324" t="s">
        <v>24</v>
      </c>
    </row>
    <row r="325" spans="1:17" ht="15">
      <c r="A325" t="s">
        <v>17</v>
      </c>
      <c r="B325" s="1">
        <v>43152</v>
      </c>
      <c r="C325" t="s">
        <v>104</v>
      </c>
      <c r="D325" t="str">
        <f>CONCATENATE("0070003017","")</f>
        <v>0070003017</v>
      </c>
      <c r="E325" t="str">
        <f>CONCATENATE("0030301001009       ","")</f>
        <v>0030301001009       </v>
      </c>
      <c r="F325" t="str">
        <f>CONCATENATE("606747035","")</f>
        <v>606747035</v>
      </c>
      <c r="G325" t="s">
        <v>635</v>
      </c>
      <c r="H325" t="s">
        <v>652</v>
      </c>
      <c r="I325" t="s">
        <v>653</v>
      </c>
      <c r="J325" t="str">
        <f t="shared" si="37"/>
        <v>080303</v>
      </c>
      <c r="K325" t="s">
        <v>22</v>
      </c>
      <c r="L325" t="s">
        <v>23</v>
      </c>
      <c r="M325" t="str">
        <f t="shared" si="38"/>
        <v>1</v>
      </c>
      <c r="O325" t="str">
        <f>CONCATENATE("1 ","")</f>
        <v>1 </v>
      </c>
      <c r="P325">
        <v>35.6</v>
      </c>
      <c r="Q325" t="s">
        <v>24</v>
      </c>
    </row>
    <row r="326" spans="1:17" ht="15">
      <c r="A326" t="s">
        <v>17</v>
      </c>
      <c r="B326" s="1">
        <v>43152</v>
      </c>
      <c r="C326" t="s">
        <v>104</v>
      </c>
      <c r="D326" t="str">
        <f>CONCATENATE("0070014874","")</f>
        <v>0070014874</v>
      </c>
      <c r="E326" t="str">
        <f>CONCATENATE("0030301001028       ","")</f>
        <v>0030301001028       </v>
      </c>
      <c r="F326" t="str">
        <f>CONCATENATE("606747049","")</f>
        <v>606747049</v>
      </c>
      <c r="G326" t="s">
        <v>632</v>
      </c>
      <c r="H326" t="s">
        <v>654</v>
      </c>
      <c r="I326" t="s">
        <v>104</v>
      </c>
      <c r="J326" t="str">
        <f t="shared" si="37"/>
        <v>080303</v>
      </c>
      <c r="K326" t="s">
        <v>22</v>
      </c>
      <c r="L326" t="s">
        <v>23</v>
      </c>
      <c r="M326" t="str">
        <f t="shared" si="38"/>
        <v>1</v>
      </c>
      <c r="O326" t="str">
        <f>CONCATENATE("1 ","")</f>
        <v>1 </v>
      </c>
      <c r="P326">
        <v>484.7</v>
      </c>
      <c r="Q326" t="s">
        <v>24</v>
      </c>
    </row>
    <row r="327" spans="1:17" ht="15">
      <c r="A327" t="s">
        <v>17</v>
      </c>
      <c r="B327" s="1">
        <v>43152</v>
      </c>
      <c r="C327" t="s">
        <v>104</v>
      </c>
      <c r="D327" t="str">
        <f>CONCATENATE("0070010947","")</f>
        <v>0070010947</v>
      </c>
      <c r="E327" t="str">
        <f>CONCATENATE("0030301001062       ","")</f>
        <v>0030301001062       </v>
      </c>
      <c r="F327" t="str">
        <f>CONCATENATE("605741691","")</f>
        <v>605741691</v>
      </c>
      <c r="G327" t="s">
        <v>635</v>
      </c>
      <c r="H327" t="s">
        <v>655</v>
      </c>
      <c r="I327" t="s">
        <v>656</v>
      </c>
      <c r="J327" t="str">
        <f t="shared" si="37"/>
        <v>080303</v>
      </c>
      <c r="K327" t="s">
        <v>22</v>
      </c>
      <c r="L327" t="s">
        <v>23</v>
      </c>
      <c r="M327" t="str">
        <f t="shared" si="38"/>
        <v>1</v>
      </c>
      <c r="O327" t="str">
        <f>CONCATENATE("6 ","")</f>
        <v>6 </v>
      </c>
      <c r="P327">
        <v>96.8</v>
      </c>
      <c r="Q327" t="s">
        <v>24</v>
      </c>
    </row>
    <row r="328" spans="1:17" ht="15">
      <c r="A328" t="s">
        <v>17</v>
      </c>
      <c r="B328" s="1">
        <v>43152</v>
      </c>
      <c r="C328" t="s">
        <v>104</v>
      </c>
      <c r="D328" t="str">
        <f>CONCATENATE("0070013508","")</f>
        <v>0070013508</v>
      </c>
      <c r="E328" t="str">
        <f>CONCATENATE("0030301001097       ","")</f>
        <v>0030301001097       </v>
      </c>
      <c r="F328" t="str">
        <f>CONCATENATE("607307588","")</f>
        <v>607307588</v>
      </c>
      <c r="G328" t="s">
        <v>635</v>
      </c>
      <c r="H328" t="s">
        <v>657</v>
      </c>
      <c r="I328" t="s">
        <v>658</v>
      </c>
      <c r="J328" t="str">
        <f t="shared" si="37"/>
        <v>080303</v>
      </c>
      <c r="K328" t="s">
        <v>22</v>
      </c>
      <c r="L328" t="s">
        <v>23</v>
      </c>
      <c r="M328" t="str">
        <f t="shared" si="38"/>
        <v>1</v>
      </c>
      <c r="O328" t="str">
        <f>CONCATENATE("1 ","")</f>
        <v>1 </v>
      </c>
      <c r="P328">
        <v>16.35</v>
      </c>
      <c r="Q328" t="s">
        <v>24</v>
      </c>
    </row>
    <row r="329" spans="1:17" ht="15">
      <c r="A329" t="s">
        <v>17</v>
      </c>
      <c r="B329" s="1">
        <v>43152</v>
      </c>
      <c r="C329" t="s">
        <v>104</v>
      </c>
      <c r="D329" t="str">
        <f>CONCATENATE("0070003049","")</f>
        <v>0070003049</v>
      </c>
      <c r="E329" t="str">
        <f>CONCATENATE("0030301001132       ","")</f>
        <v>0030301001132       </v>
      </c>
      <c r="F329" t="str">
        <f>CONCATENATE("605159207","")</f>
        <v>605159207</v>
      </c>
      <c r="G329" t="s">
        <v>632</v>
      </c>
      <c r="H329" t="s">
        <v>659</v>
      </c>
      <c r="I329" t="s">
        <v>660</v>
      </c>
      <c r="J329" t="str">
        <f t="shared" si="37"/>
        <v>080303</v>
      </c>
      <c r="K329" t="s">
        <v>22</v>
      </c>
      <c r="L329" t="s">
        <v>23</v>
      </c>
      <c r="M329" t="str">
        <f t="shared" si="38"/>
        <v>1</v>
      </c>
      <c r="O329" t="str">
        <f>CONCATENATE("1 ","")</f>
        <v>1 </v>
      </c>
      <c r="P329">
        <v>104.8</v>
      </c>
      <c r="Q329" t="s">
        <v>24</v>
      </c>
    </row>
    <row r="330" spans="1:17" ht="15">
      <c r="A330" t="s">
        <v>17</v>
      </c>
      <c r="B330" s="1">
        <v>43152</v>
      </c>
      <c r="C330" t="s">
        <v>104</v>
      </c>
      <c r="D330" t="str">
        <f>CONCATENATE("0070003063","")</f>
        <v>0070003063</v>
      </c>
      <c r="E330" t="str">
        <f>CONCATENATE("0030301001201       ","")</f>
        <v>0030301001201       </v>
      </c>
      <c r="F330" t="str">
        <f>CONCATENATE("607443846","")</f>
        <v>607443846</v>
      </c>
      <c r="G330" t="s">
        <v>635</v>
      </c>
      <c r="H330" t="s">
        <v>661</v>
      </c>
      <c r="I330" t="s">
        <v>104</v>
      </c>
      <c r="J330" t="str">
        <f t="shared" si="37"/>
        <v>080303</v>
      </c>
      <c r="K330" t="s">
        <v>22</v>
      </c>
      <c r="L330" t="s">
        <v>23</v>
      </c>
      <c r="M330" t="str">
        <f t="shared" si="38"/>
        <v>1</v>
      </c>
      <c r="O330" t="str">
        <f>CONCATENATE("1 ","")</f>
        <v>1 </v>
      </c>
      <c r="P330">
        <v>42.85</v>
      </c>
      <c r="Q330" t="s">
        <v>24</v>
      </c>
    </row>
    <row r="331" spans="1:17" ht="15">
      <c r="A331" t="s">
        <v>17</v>
      </c>
      <c r="B331" s="1">
        <v>43152</v>
      </c>
      <c r="C331" t="s">
        <v>104</v>
      </c>
      <c r="D331" t="str">
        <f>CONCATENATE("0070013901","")</f>
        <v>0070013901</v>
      </c>
      <c r="E331" t="str">
        <f>CONCATENATE("0030301001440       ","")</f>
        <v>0030301001440       </v>
      </c>
      <c r="F331" t="str">
        <f>CONCATENATE("1812112","")</f>
        <v>1812112</v>
      </c>
      <c r="G331" t="s">
        <v>635</v>
      </c>
      <c r="H331" t="s">
        <v>662</v>
      </c>
      <c r="I331" t="s">
        <v>663</v>
      </c>
      <c r="J331" t="str">
        <f t="shared" si="37"/>
        <v>080303</v>
      </c>
      <c r="K331" t="s">
        <v>22</v>
      </c>
      <c r="L331" t="s">
        <v>23</v>
      </c>
      <c r="M331" t="str">
        <f t="shared" si="38"/>
        <v>1</v>
      </c>
      <c r="O331" t="str">
        <f>CONCATENATE("2 ","")</f>
        <v>2 </v>
      </c>
      <c r="P331">
        <v>23.1</v>
      </c>
      <c r="Q331" t="s">
        <v>24</v>
      </c>
    </row>
    <row r="332" spans="1:17" ht="15">
      <c r="A332" t="s">
        <v>17</v>
      </c>
      <c r="B332" s="1">
        <v>43152</v>
      </c>
      <c r="C332" t="s">
        <v>104</v>
      </c>
      <c r="D332" t="str">
        <f>CONCATENATE("0070003120","")</f>
        <v>0070003120</v>
      </c>
      <c r="E332" t="str">
        <f>CONCATENATE("0030301001770       ","")</f>
        <v>0030301001770       </v>
      </c>
      <c r="F332" t="str">
        <f>CONCATENATE("605231511","")</f>
        <v>605231511</v>
      </c>
      <c r="G332" t="s">
        <v>635</v>
      </c>
      <c r="H332" t="s">
        <v>664</v>
      </c>
      <c r="I332" t="s">
        <v>665</v>
      </c>
      <c r="J332" t="str">
        <f t="shared" si="37"/>
        <v>080303</v>
      </c>
      <c r="K332" t="s">
        <v>22</v>
      </c>
      <c r="L332" t="s">
        <v>23</v>
      </c>
      <c r="M332" t="str">
        <f t="shared" si="38"/>
        <v>1</v>
      </c>
      <c r="O332" t="str">
        <f>CONCATENATE("5 ","")</f>
        <v>5 </v>
      </c>
      <c r="P332">
        <v>37.75</v>
      </c>
      <c r="Q332" t="s">
        <v>24</v>
      </c>
    </row>
    <row r="333" spans="1:17" ht="15">
      <c r="A333" t="s">
        <v>17</v>
      </c>
      <c r="B333" s="1">
        <v>43152</v>
      </c>
      <c r="C333" t="s">
        <v>104</v>
      </c>
      <c r="D333" t="str">
        <f>CONCATENATE("0070012616","")</f>
        <v>0070012616</v>
      </c>
      <c r="E333" t="str">
        <f>CONCATENATE("0030301001775       ","")</f>
        <v>0030301001775       </v>
      </c>
      <c r="F333" t="str">
        <f>CONCATENATE("605942730","")</f>
        <v>605942730</v>
      </c>
      <c r="G333" t="s">
        <v>635</v>
      </c>
      <c r="H333" t="s">
        <v>666</v>
      </c>
      <c r="I333" t="s">
        <v>667</v>
      </c>
      <c r="J333" t="str">
        <f t="shared" si="37"/>
        <v>080303</v>
      </c>
      <c r="K333" t="s">
        <v>22</v>
      </c>
      <c r="L333" t="s">
        <v>23</v>
      </c>
      <c r="M333" t="str">
        <f t="shared" si="38"/>
        <v>1</v>
      </c>
      <c r="O333" t="str">
        <f>CONCATENATE("1 ","")</f>
        <v>1 </v>
      </c>
      <c r="P333">
        <v>56.85</v>
      </c>
      <c r="Q333" t="s">
        <v>24</v>
      </c>
    </row>
    <row r="334" spans="1:17" ht="15">
      <c r="A334" t="s">
        <v>17</v>
      </c>
      <c r="B334" s="1">
        <v>43152</v>
      </c>
      <c r="C334" t="s">
        <v>100</v>
      </c>
      <c r="D334" t="str">
        <f>CONCATENATE("0070012881","")</f>
        <v>0070012881</v>
      </c>
      <c r="E334" t="str">
        <f>CONCATENATE("0030303000010       ","")</f>
        <v>0030303000010       </v>
      </c>
      <c r="F334" t="str">
        <f>CONCATENATE("605942733","")</f>
        <v>605942733</v>
      </c>
      <c r="G334" t="s">
        <v>668</v>
      </c>
      <c r="H334" t="s">
        <v>669</v>
      </c>
      <c r="I334" t="s">
        <v>670</v>
      </c>
      <c r="J334" t="str">
        <f>CONCATENATE("080308","")</f>
        <v>080308</v>
      </c>
      <c r="K334" t="s">
        <v>22</v>
      </c>
      <c r="L334" t="s">
        <v>23</v>
      </c>
      <c r="M334" t="str">
        <f t="shared" si="38"/>
        <v>1</v>
      </c>
      <c r="O334" t="str">
        <f>CONCATENATE("1 ","")</f>
        <v>1 </v>
      </c>
      <c r="P334">
        <v>34.45</v>
      </c>
      <c r="Q334" t="s">
        <v>24</v>
      </c>
    </row>
    <row r="335" spans="1:17" ht="15">
      <c r="A335" t="s">
        <v>17</v>
      </c>
      <c r="B335" s="1">
        <v>43152</v>
      </c>
      <c r="C335" t="s">
        <v>104</v>
      </c>
      <c r="D335" t="str">
        <f>CONCATENATE("0070027130","")</f>
        <v>0070027130</v>
      </c>
      <c r="E335" t="str">
        <f>CONCATENATE("0030304000090       ","")</f>
        <v>0030304000090       </v>
      </c>
      <c r="F335" t="str">
        <f>CONCATENATE("607299347","")</f>
        <v>607299347</v>
      </c>
      <c r="G335" t="s">
        <v>671</v>
      </c>
      <c r="H335" t="s">
        <v>672</v>
      </c>
      <c r="I335" t="s">
        <v>673</v>
      </c>
      <c r="J335" t="str">
        <f>CONCATENATE("080303","")</f>
        <v>080303</v>
      </c>
      <c r="K335" t="s">
        <v>22</v>
      </c>
      <c r="L335" t="s">
        <v>23</v>
      </c>
      <c r="M335" t="str">
        <f t="shared" si="38"/>
        <v>1</v>
      </c>
      <c r="O335" t="str">
        <f>CONCATENATE("5 ","")</f>
        <v>5 </v>
      </c>
      <c r="P335">
        <v>94.45</v>
      </c>
      <c r="Q335" t="s">
        <v>24</v>
      </c>
    </row>
    <row r="336" spans="1:17" ht="15">
      <c r="A336" t="s">
        <v>17</v>
      </c>
      <c r="B336" s="1">
        <v>43152</v>
      </c>
      <c r="C336" t="s">
        <v>104</v>
      </c>
      <c r="D336" t="str">
        <f>CONCATENATE("0070027036","")</f>
        <v>0070027036</v>
      </c>
      <c r="E336" t="str">
        <f>CONCATENATE("0030304000190       ","")</f>
        <v>0030304000190       </v>
      </c>
      <c r="F336" t="str">
        <f>CONCATENATE("606907002","")</f>
        <v>606907002</v>
      </c>
      <c r="G336" t="s">
        <v>671</v>
      </c>
      <c r="H336" t="s">
        <v>674</v>
      </c>
      <c r="I336" t="s">
        <v>673</v>
      </c>
      <c r="J336" t="str">
        <f>CONCATENATE("080303","")</f>
        <v>080303</v>
      </c>
      <c r="K336" t="s">
        <v>22</v>
      </c>
      <c r="L336" t="s">
        <v>23</v>
      </c>
      <c r="M336" t="str">
        <f t="shared" si="38"/>
        <v>1</v>
      </c>
      <c r="O336" t="str">
        <f>CONCATENATE("2 ","")</f>
        <v>2 </v>
      </c>
      <c r="P336">
        <v>18.1</v>
      </c>
      <c r="Q336" t="s">
        <v>24</v>
      </c>
    </row>
    <row r="337" spans="1:17" ht="15">
      <c r="A337" t="s">
        <v>17</v>
      </c>
      <c r="B337" s="1">
        <v>43152</v>
      </c>
      <c r="C337" t="s">
        <v>104</v>
      </c>
      <c r="D337" t="str">
        <f>CONCATENATE("0070027129","")</f>
        <v>0070027129</v>
      </c>
      <c r="E337" t="str">
        <f>CONCATENATE("0030304000930       ","")</f>
        <v>0030304000930       </v>
      </c>
      <c r="F337" t="str">
        <f>CONCATENATE("607299342","")</f>
        <v>607299342</v>
      </c>
      <c r="G337" t="s">
        <v>671</v>
      </c>
      <c r="H337" t="s">
        <v>675</v>
      </c>
      <c r="I337" t="s">
        <v>673</v>
      </c>
      <c r="J337" t="str">
        <f>CONCATENATE("080303","")</f>
        <v>080303</v>
      </c>
      <c r="K337" t="s">
        <v>22</v>
      </c>
      <c r="L337" t="s">
        <v>23</v>
      </c>
      <c r="M337" t="str">
        <f t="shared" si="38"/>
        <v>1</v>
      </c>
      <c r="O337" t="str">
        <f>CONCATENATE("2 ","")</f>
        <v>2 </v>
      </c>
      <c r="P337">
        <v>18.1</v>
      </c>
      <c r="Q337" t="s">
        <v>24</v>
      </c>
    </row>
    <row r="338" spans="1:17" ht="15">
      <c r="A338" t="s">
        <v>17</v>
      </c>
      <c r="B338" s="1">
        <v>43152</v>
      </c>
      <c r="C338" t="s">
        <v>104</v>
      </c>
      <c r="D338" t="str">
        <f>CONCATENATE("0070026981","")</f>
        <v>0070026981</v>
      </c>
      <c r="E338" t="str">
        <f>CONCATENATE("0030304001080       ","")</f>
        <v>0030304001080       </v>
      </c>
      <c r="F338" t="str">
        <f>CONCATENATE("607428449","")</f>
        <v>607428449</v>
      </c>
      <c r="G338" t="s">
        <v>671</v>
      </c>
      <c r="H338" t="s">
        <v>676</v>
      </c>
      <c r="I338" t="s">
        <v>677</v>
      </c>
      <c r="J338" t="str">
        <f>CONCATENATE("080303","")</f>
        <v>080303</v>
      </c>
      <c r="K338" t="s">
        <v>22</v>
      </c>
      <c r="L338" t="s">
        <v>23</v>
      </c>
      <c r="M338" t="str">
        <f>CONCATENATE("4","")</f>
        <v>4</v>
      </c>
      <c r="O338" t="str">
        <f>CONCATENATE("2 ","")</f>
        <v>2 </v>
      </c>
      <c r="P338">
        <v>338.2</v>
      </c>
      <c r="Q338" t="s">
        <v>51</v>
      </c>
    </row>
    <row r="339" spans="1:17" ht="15">
      <c r="A339" t="s">
        <v>17</v>
      </c>
      <c r="B339" s="1">
        <v>43152</v>
      </c>
      <c r="C339" t="s">
        <v>104</v>
      </c>
      <c r="D339" t="str">
        <f>CONCATENATE("0070020774","")</f>
        <v>0070020774</v>
      </c>
      <c r="E339" t="str">
        <f>CONCATENATE("0030305000250       ","")</f>
        <v>0030305000250       </v>
      </c>
      <c r="F339" t="str">
        <f>CONCATENATE("1607055","")</f>
        <v>1607055</v>
      </c>
      <c r="G339" t="s">
        <v>678</v>
      </c>
      <c r="H339" t="s">
        <v>679</v>
      </c>
      <c r="I339" t="s">
        <v>680</v>
      </c>
      <c r="J339" t="str">
        <f>CONCATENATE("080303","")</f>
        <v>080303</v>
      </c>
      <c r="K339" t="s">
        <v>22</v>
      </c>
      <c r="L339" t="s">
        <v>23</v>
      </c>
      <c r="M339" t="str">
        <f>CONCATENATE("1","")</f>
        <v>1</v>
      </c>
      <c r="O339" t="str">
        <f aca="true" t="shared" si="39" ref="O339:O355">CONCATENATE("1 ","")</f>
        <v>1 </v>
      </c>
      <c r="P339">
        <v>83.15</v>
      </c>
      <c r="Q339" t="s">
        <v>24</v>
      </c>
    </row>
    <row r="340" spans="1:17" ht="15">
      <c r="A340" t="s">
        <v>17</v>
      </c>
      <c r="B340" s="1">
        <v>43152</v>
      </c>
      <c r="C340" t="s">
        <v>681</v>
      </c>
      <c r="D340" t="str">
        <f>CONCATENATE("0070003641","")</f>
        <v>0070003641</v>
      </c>
      <c r="E340" t="str">
        <f>CONCATENATE("0030501000470       ","")</f>
        <v>0030501000470       </v>
      </c>
      <c r="F340" t="str">
        <f>CONCATENATE("507004657","")</f>
        <v>507004657</v>
      </c>
      <c r="G340" t="s">
        <v>682</v>
      </c>
      <c r="H340" t="s">
        <v>683</v>
      </c>
      <c r="I340" t="s">
        <v>684</v>
      </c>
      <c r="J340" t="str">
        <f aca="true" t="shared" si="40" ref="J340:J370">CONCATENATE("080305","")</f>
        <v>080305</v>
      </c>
      <c r="K340" t="s">
        <v>22</v>
      </c>
      <c r="L340" t="s">
        <v>23</v>
      </c>
      <c r="M340" t="str">
        <f>CONCATENATE("3","")</f>
        <v>3</v>
      </c>
      <c r="O340" t="str">
        <f t="shared" si="39"/>
        <v>1 </v>
      </c>
      <c r="P340">
        <v>58.85</v>
      </c>
      <c r="Q340" t="s">
        <v>51</v>
      </c>
    </row>
    <row r="341" spans="1:17" ht="15">
      <c r="A341" t="s">
        <v>17</v>
      </c>
      <c r="B341" s="1">
        <v>43152</v>
      </c>
      <c r="C341" t="s">
        <v>681</v>
      </c>
      <c r="D341" t="str">
        <f>CONCATENATE("0070016480","")</f>
        <v>0070016480</v>
      </c>
      <c r="E341" t="str">
        <f>CONCATENATE("0030501000525       ","")</f>
        <v>0030501000525       </v>
      </c>
      <c r="F341" t="str">
        <f>CONCATENATE("606896988","")</f>
        <v>606896988</v>
      </c>
      <c r="G341" t="s">
        <v>682</v>
      </c>
      <c r="H341" t="s">
        <v>685</v>
      </c>
      <c r="I341" t="s">
        <v>686</v>
      </c>
      <c r="J341" t="str">
        <f t="shared" si="40"/>
        <v>080305</v>
      </c>
      <c r="K341" t="s">
        <v>22</v>
      </c>
      <c r="L341" t="s">
        <v>23</v>
      </c>
      <c r="M341" t="str">
        <f>CONCATENATE("1","")</f>
        <v>1</v>
      </c>
      <c r="O341" t="str">
        <f t="shared" si="39"/>
        <v>1 </v>
      </c>
      <c r="P341">
        <v>279.25</v>
      </c>
      <c r="Q341" t="s">
        <v>24</v>
      </c>
    </row>
    <row r="342" spans="1:17" ht="15">
      <c r="A342" t="s">
        <v>17</v>
      </c>
      <c r="B342" s="1">
        <v>43152</v>
      </c>
      <c r="C342" t="s">
        <v>681</v>
      </c>
      <c r="D342" t="str">
        <f>CONCATENATE("0070022042","")</f>
        <v>0070022042</v>
      </c>
      <c r="E342" t="str">
        <f>CONCATENATE("0030501000549       ","")</f>
        <v>0030501000549       </v>
      </c>
      <c r="F342" t="str">
        <f>CONCATENATE("1930759","")</f>
        <v>1930759</v>
      </c>
      <c r="G342" t="s">
        <v>682</v>
      </c>
      <c r="H342" t="s">
        <v>687</v>
      </c>
      <c r="I342" t="s">
        <v>688</v>
      </c>
      <c r="J342" t="str">
        <f t="shared" si="40"/>
        <v>080305</v>
      </c>
      <c r="K342" t="s">
        <v>22</v>
      </c>
      <c r="L342" t="s">
        <v>23</v>
      </c>
      <c r="M342" t="str">
        <f>CONCATENATE("1","")</f>
        <v>1</v>
      </c>
      <c r="O342" t="str">
        <f t="shared" si="39"/>
        <v>1 </v>
      </c>
      <c r="P342">
        <v>49.4</v>
      </c>
      <c r="Q342" t="s">
        <v>24</v>
      </c>
    </row>
    <row r="343" spans="1:17" ht="15">
      <c r="A343" t="s">
        <v>17</v>
      </c>
      <c r="B343" s="1">
        <v>43152</v>
      </c>
      <c r="C343" t="s">
        <v>681</v>
      </c>
      <c r="D343" t="str">
        <f>CONCATENATE("0070017152","")</f>
        <v>0070017152</v>
      </c>
      <c r="E343" t="str">
        <f>CONCATENATE("0030501000557       ","")</f>
        <v>0030501000557       </v>
      </c>
      <c r="F343" t="str">
        <f>CONCATENATE("507001990","")</f>
        <v>507001990</v>
      </c>
      <c r="G343" t="s">
        <v>682</v>
      </c>
      <c r="H343" t="s">
        <v>689</v>
      </c>
      <c r="I343" t="s">
        <v>690</v>
      </c>
      <c r="J343" t="str">
        <f t="shared" si="40"/>
        <v>080305</v>
      </c>
      <c r="K343" t="s">
        <v>22</v>
      </c>
      <c r="L343" t="s">
        <v>23</v>
      </c>
      <c r="M343" t="str">
        <f>CONCATENATE("3","")</f>
        <v>3</v>
      </c>
      <c r="O343" t="str">
        <f t="shared" si="39"/>
        <v>1 </v>
      </c>
      <c r="P343">
        <v>164.7</v>
      </c>
      <c r="Q343" t="s">
        <v>51</v>
      </c>
    </row>
    <row r="344" spans="1:17" ht="15">
      <c r="A344" t="s">
        <v>17</v>
      </c>
      <c r="B344" s="1">
        <v>43152</v>
      </c>
      <c r="C344" t="s">
        <v>681</v>
      </c>
      <c r="D344" t="str">
        <f>CONCATENATE("0070003668","")</f>
        <v>0070003668</v>
      </c>
      <c r="E344" t="str">
        <f>CONCATENATE("0030501000720       ","")</f>
        <v>0030501000720       </v>
      </c>
      <c r="F344" t="str">
        <f>CONCATENATE("605232334","")</f>
        <v>605232334</v>
      </c>
      <c r="G344" t="s">
        <v>682</v>
      </c>
      <c r="H344" t="s">
        <v>691</v>
      </c>
      <c r="I344" t="s">
        <v>684</v>
      </c>
      <c r="J344" t="str">
        <f t="shared" si="40"/>
        <v>080305</v>
      </c>
      <c r="K344" t="s">
        <v>22</v>
      </c>
      <c r="L344" t="s">
        <v>23</v>
      </c>
      <c r="M344" t="str">
        <f>CONCATENATE("1","")</f>
        <v>1</v>
      </c>
      <c r="O344" t="str">
        <f t="shared" si="39"/>
        <v>1 </v>
      </c>
      <c r="P344">
        <v>14.8</v>
      </c>
      <c r="Q344" t="s">
        <v>24</v>
      </c>
    </row>
    <row r="345" spans="1:17" ht="15">
      <c r="A345" t="s">
        <v>17</v>
      </c>
      <c r="B345" s="1">
        <v>43152</v>
      </c>
      <c r="C345" t="s">
        <v>681</v>
      </c>
      <c r="D345" t="str">
        <f>CONCATENATE("0070003681","")</f>
        <v>0070003681</v>
      </c>
      <c r="E345" t="str">
        <f>CONCATENATE("0030502000080       ","")</f>
        <v>0030502000080       </v>
      </c>
      <c r="F345" t="str">
        <f>CONCATENATE("605230489","")</f>
        <v>605230489</v>
      </c>
      <c r="G345" t="s">
        <v>692</v>
      </c>
      <c r="H345" t="s">
        <v>693</v>
      </c>
      <c r="I345" t="s">
        <v>694</v>
      </c>
      <c r="J345" t="str">
        <f t="shared" si="40"/>
        <v>080305</v>
      </c>
      <c r="K345" t="s">
        <v>22</v>
      </c>
      <c r="L345" t="s">
        <v>23</v>
      </c>
      <c r="M345" t="str">
        <f>CONCATENATE("1","")</f>
        <v>1</v>
      </c>
      <c r="O345" t="str">
        <f t="shared" si="39"/>
        <v>1 </v>
      </c>
      <c r="P345">
        <v>27.2</v>
      </c>
      <c r="Q345" t="s">
        <v>24</v>
      </c>
    </row>
    <row r="346" spans="1:17" ht="15">
      <c r="A346" t="s">
        <v>17</v>
      </c>
      <c r="B346" s="1">
        <v>43152</v>
      </c>
      <c r="C346" t="s">
        <v>681</v>
      </c>
      <c r="D346" t="str">
        <f>CONCATENATE("0070003697","")</f>
        <v>0070003697</v>
      </c>
      <c r="E346" t="str">
        <f>CONCATENATE("0030502000255       ","")</f>
        <v>0030502000255       </v>
      </c>
      <c r="F346" t="str">
        <f>CONCATENATE("605629537","")</f>
        <v>605629537</v>
      </c>
      <c r="G346" t="s">
        <v>695</v>
      </c>
      <c r="H346" t="s">
        <v>696</v>
      </c>
      <c r="I346" t="s">
        <v>697</v>
      </c>
      <c r="J346" t="str">
        <f t="shared" si="40"/>
        <v>080305</v>
      </c>
      <c r="K346" t="s">
        <v>22</v>
      </c>
      <c r="L346" t="s">
        <v>23</v>
      </c>
      <c r="M346" t="str">
        <f>CONCATENATE("1","")</f>
        <v>1</v>
      </c>
      <c r="O346" t="str">
        <f t="shared" si="39"/>
        <v>1 </v>
      </c>
      <c r="P346">
        <v>77.1</v>
      </c>
      <c r="Q346" t="s">
        <v>24</v>
      </c>
    </row>
    <row r="347" spans="1:17" ht="15">
      <c r="A347" t="s">
        <v>17</v>
      </c>
      <c r="B347" s="1">
        <v>43152</v>
      </c>
      <c r="C347" t="s">
        <v>681</v>
      </c>
      <c r="D347" t="str">
        <f>CONCATENATE("0070025173","")</f>
        <v>0070025173</v>
      </c>
      <c r="E347" t="str">
        <f>CONCATENATE("0030502000272       ","")</f>
        <v>0030502000272       </v>
      </c>
      <c r="F347" t="str">
        <f>CONCATENATE("607415846","")</f>
        <v>607415846</v>
      </c>
      <c r="G347" t="s">
        <v>692</v>
      </c>
      <c r="H347" t="s">
        <v>698</v>
      </c>
      <c r="I347" t="s">
        <v>699</v>
      </c>
      <c r="J347" t="str">
        <f t="shared" si="40"/>
        <v>080305</v>
      </c>
      <c r="K347" t="s">
        <v>22</v>
      </c>
      <c r="L347" t="s">
        <v>23</v>
      </c>
      <c r="M347" t="str">
        <f>CONCATENATE("3","")</f>
        <v>3</v>
      </c>
      <c r="O347" t="str">
        <f t="shared" si="39"/>
        <v>1 </v>
      </c>
      <c r="P347">
        <v>30.8</v>
      </c>
      <c r="Q347" t="s">
        <v>51</v>
      </c>
    </row>
    <row r="348" spans="1:17" ht="15">
      <c r="A348" t="s">
        <v>17</v>
      </c>
      <c r="B348" s="1">
        <v>43152</v>
      </c>
      <c r="C348" t="s">
        <v>681</v>
      </c>
      <c r="D348" t="str">
        <f>CONCATENATE("0070024009","")</f>
        <v>0070024009</v>
      </c>
      <c r="E348" t="str">
        <f>CONCATENATE("0030502000305       ","")</f>
        <v>0030502000305       </v>
      </c>
      <c r="F348" t="str">
        <f>CONCATENATE("606754529","")</f>
        <v>606754529</v>
      </c>
      <c r="G348" t="s">
        <v>700</v>
      </c>
      <c r="H348" t="s">
        <v>701</v>
      </c>
      <c r="I348" t="s">
        <v>702</v>
      </c>
      <c r="J348" t="str">
        <f t="shared" si="40"/>
        <v>080305</v>
      </c>
      <c r="K348" t="s">
        <v>22</v>
      </c>
      <c r="L348" t="s">
        <v>23</v>
      </c>
      <c r="M348" t="str">
        <f aca="true" t="shared" si="41" ref="M348:M356">CONCATENATE("1","")</f>
        <v>1</v>
      </c>
      <c r="O348" t="str">
        <f t="shared" si="39"/>
        <v>1 </v>
      </c>
      <c r="P348">
        <v>14.5</v>
      </c>
      <c r="Q348" t="s">
        <v>24</v>
      </c>
    </row>
    <row r="349" spans="1:17" ht="15">
      <c r="A349" t="s">
        <v>17</v>
      </c>
      <c r="B349" s="1">
        <v>43152</v>
      </c>
      <c r="C349" t="s">
        <v>681</v>
      </c>
      <c r="D349" t="str">
        <f>CONCATENATE("0070020721","")</f>
        <v>0070020721</v>
      </c>
      <c r="E349" t="str">
        <f>CONCATENATE("0030502000345       ","")</f>
        <v>0030502000345       </v>
      </c>
      <c r="F349" t="str">
        <f>CONCATENATE("1606143","")</f>
        <v>1606143</v>
      </c>
      <c r="G349" t="s">
        <v>700</v>
      </c>
      <c r="H349" t="s">
        <v>703</v>
      </c>
      <c r="I349" t="s">
        <v>704</v>
      </c>
      <c r="J349" t="str">
        <f t="shared" si="40"/>
        <v>080305</v>
      </c>
      <c r="K349" t="s">
        <v>22</v>
      </c>
      <c r="L349" t="s">
        <v>23</v>
      </c>
      <c r="M349" t="str">
        <f t="shared" si="41"/>
        <v>1</v>
      </c>
      <c r="O349" t="str">
        <f t="shared" si="39"/>
        <v>1 </v>
      </c>
      <c r="P349">
        <v>29.55</v>
      </c>
      <c r="Q349" t="s">
        <v>24</v>
      </c>
    </row>
    <row r="350" spans="1:17" ht="15">
      <c r="A350" t="s">
        <v>17</v>
      </c>
      <c r="B350" s="1">
        <v>43152</v>
      </c>
      <c r="C350" t="s">
        <v>681</v>
      </c>
      <c r="D350" t="str">
        <f>CONCATENATE("0070003732","")</f>
        <v>0070003732</v>
      </c>
      <c r="E350" t="str">
        <f>CONCATENATE("0030502000610       ","")</f>
        <v>0030502000610       </v>
      </c>
      <c r="F350" t="str">
        <f>CONCATENATE("605230632","")</f>
        <v>605230632</v>
      </c>
      <c r="G350" t="s">
        <v>700</v>
      </c>
      <c r="H350" t="s">
        <v>705</v>
      </c>
      <c r="I350" t="s">
        <v>706</v>
      </c>
      <c r="J350" t="str">
        <f t="shared" si="40"/>
        <v>080305</v>
      </c>
      <c r="K350" t="s">
        <v>22</v>
      </c>
      <c r="L350" t="s">
        <v>23</v>
      </c>
      <c r="M350" t="str">
        <f t="shared" si="41"/>
        <v>1</v>
      </c>
      <c r="O350" t="str">
        <f t="shared" si="39"/>
        <v>1 </v>
      </c>
      <c r="P350">
        <v>14.65</v>
      </c>
      <c r="Q350" t="s">
        <v>24</v>
      </c>
    </row>
    <row r="351" spans="1:17" ht="15">
      <c r="A351" t="s">
        <v>17</v>
      </c>
      <c r="B351" s="1">
        <v>43152</v>
      </c>
      <c r="C351" t="s">
        <v>681</v>
      </c>
      <c r="D351" t="str">
        <f>CONCATENATE("0070009408","")</f>
        <v>0070009408</v>
      </c>
      <c r="E351" t="str">
        <f>CONCATENATE("0030502000720       ","")</f>
        <v>0030502000720       </v>
      </c>
      <c r="F351" t="str">
        <f>CONCATENATE("606849158","")</f>
        <v>606849158</v>
      </c>
      <c r="G351" t="s">
        <v>695</v>
      </c>
      <c r="H351" t="s">
        <v>707</v>
      </c>
      <c r="I351" t="s">
        <v>708</v>
      </c>
      <c r="J351" t="str">
        <f t="shared" si="40"/>
        <v>080305</v>
      </c>
      <c r="K351" t="s">
        <v>22</v>
      </c>
      <c r="L351" t="s">
        <v>23</v>
      </c>
      <c r="M351" t="str">
        <f t="shared" si="41"/>
        <v>1</v>
      </c>
      <c r="O351" t="str">
        <f t="shared" si="39"/>
        <v>1 </v>
      </c>
      <c r="P351">
        <v>83.15</v>
      </c>
      <c r="Q351" t="s">
        <v>24</v>
      </c>
    </row>
    <row r="352" spans="1:17" ht="15">
      <c r="A352" t="s">
        <v>17</v>
      </c>
      <c r="B352" s="1">
        <v>43152</v>
      </c>
      <c r="C352" t="s">
        <v>681</v>
      </c>
      <c r="D352" t="str">
        <f>CONCATENATE("0070003771","")</f>
        <v>0070003771</v>
      </c>
      <c r="E352" t="str">
        <f>CONCATENATE("0030502001090       ","")</f>
        <v>0030502001090       </v>
      </c>
      <c r="F352" t="str">
        <f>CONCATENATE("605230643","")</f>
        <v>605230643</v>
      </c>
      <c r="G352" t="s">
        <v>700</v>
      </c>
      <c r="H352" t="s">
        <v>709</v>
      </c>
      <c r="I352" t="e">
        <f>-CALLE-LIBERTAD---HUARCONDO</f>
        <v>#NAME?</v>
      </c>
      <c r="J352" t="str">
        <f t="shared" si="40"/>
        <v>080305</v>
      </c>
      <c r="K352" t="s">
        <v>22</v>
      </c>
      <c r="L352" t="s">
        <v>23</v>
      </c>
      <c r="M352" t="str">
        <f t="shared" si="41"/>
        <v>1</v>
      </c>
      <c r="O352" t="str">
        <f t="shared" si="39"/>
        <v>1 </v>
      </c>
      <c r="P352">
        <v>10.95</v>
      </c>
      <c r="Q352" t="s">
        <v>24</v>
      </c>
    </row>
    <row r="353" spans="1:17" ht="15">
      <c r="A353" t="s">
        <v>17</v>
      </c>
      <c r="B353" s="1">
        <v>43152</v>
      </c>
      <c r="C353" t="s">
        <v>681</v>
      </c>
      <c r="D353" t="str">
        <f>CONCATENATE("0070023986","")</f>
        <v>0070023986</v>
      </c>
      <c r="E353" t="str">
        <f>CONCATENATE("0030502001363       ","")</f>
        <v>0030502001363       </v>
      </c>
      <c r="F353" t="str">
        <f>CONCATENATE("606752936","")</f>
        <v>606752936</v>
      </c>
      <c r="G353" t="s">
        <v>695</v>
      </c>
      <c r="H353" t="s">
        <v>710</v>
      </c>
      <c r="I353" t="s">
        <v>711</v>
      </c>
      <c r="J353" t="str">
        <f t="shared" si="40"/>
        <v>080305</v>
      </c>
      <c r="K353" t="s">
        <v>22</v>
      </c>
      <c r="L353" t="s">
        <v>23</v>
      </c>
      <c r="M353" t="str">
        <f t="shared" si="41"/>
        <v>1</v>
      </c>
      <c r="O353" t="str">
        <f t="shared" si="39"/>
        <v>1 </v>
      </c>
      <c r="P353">
        <v>11.6</v>
      </c>
      <c r="Q353" t="s">
        <v>24</v>
      </c>
    </row>
    <row r="354" spans="1:17" ht="15">
      <c r="A354" t="s">
        <v>17</v>
      </c>
      <c r="B354" s="1">
        <v>43152</v>
      </c>
      <c r="C354" t="s">
        <v>681</v>
      </c>
      <c r="D354" t="str">
        <f>CONCATENATE("0070003886","")</f>
        <v>0070003886</v>
      </c>
      <c r="E354" t="str">
        <f>CONCATENATE("0030502002485       ","")</f>
        <v>0030502002485       </v>
      </c>
      <c r="F354" t="str">
        <f>CONCATENATE("607662556","")</f>
        <v>607662556</v>
      </c>
      <c r="G354" t="s">
        <v>692</v>
      </c>
      <c r="H354" t="s">
        <v>712</v>
      </c>
      <c r="I354" t="s">
        <v>713</v>
      </c>
      <c r="J354" t="str">
        <f t="shared" si="40"/>
        <v>080305</v>
      </c>
      <c r="K354" t="s">
        <v>22</v>
      </c>
      <c r="L354" t="s">
        <v>23</v>
      </c>
      <c r="M354" t="str">
        <f t="shared" si="41"/>
        <v>1</v>
      </c>
      <c r="O354" t="str">
        <f t="shared" si="39"/>
        <v>1 </v>
      </c>
      <c r="P354">
        <v>565.05</v>
      </c>
      <c r="Q354" t="s">
        <v>24</v>
      </c>
    </row>
    <row r="355" spans="1:17" ht="15">
      <c r="A355" t="s">
        <v>17</v>
      </c>
      <c r="B355" s="1">
        <v>43152</v>
      </c>
      <c r="C355" t="s">
        <v>681</v>
      </c>
      <c r="D355" t="str">
        <f>CONCATENATE("0070003913","")</f>
        <v>0070003913</v>
      </c>
      <c r="E355" t="str">
        <f>CONCATENATE("0030502002760       ","")</f>
        <v>0030502002760       </v>
      </c>
      <c r="F355" t="str">
        <f>CONCATENATE("606851553","")</f>
        <v>606851553</v>
      </c>
      <c r="G355" t="s">
        <v>695</v>
      </c>
      <c r="H355" t="s">
        <v>714</v>
      </c>
      <c r="I355" t="s">
        <v>715</v>
      </c>
      <c r="J355" t="str">
        <f t="shared" si="40"/>
        <v>080305</v>
      </c>
      <c r="K355" t="s">
        <v>22</v>
      </c>
      <c r="L355" t="s">
        <v>23</v>
      </c>
      <c r="M355" t="str">
        <f t="shared" si="41"/>
        <v>1</v>
      </c>
      <c r="O355" t="str">
        <f t="shared" si="39"/>
        <v>1 </v>
      </c>
      <c r="P355">
        <v>27.85</v>
      </c>
      <c r="Q355" t="s">
        <v>24</v>
      </c>
    </row>
    <row r="356" spans="1:17" ht="15">
      <c r="A356" t="s">
        <v>17</v>
      </c>
      <c r="B356" s="1">
        <v>43152</v>
      </c>
      <c r="C356" t="s">
        <v>681</v>
      </c>
      <c r="D356" t="str">
        <f>CONCATENATE("0070023782","")</f>
        <v>0070023782</v>
      </c>
      <c r="E356" t="str">
        <f>CONCATENATE("0030502002912       ","")</f>
        <v>0030502002912       </v>
      </c>
      <c r="F356" t="str">
        <f>CONCATENATE("606665460","")</f>
        <v>606665460</v>
      </c>
      <c r="G356" t="s">
        <v>695</v>
      </c>
      <c r="H356" t="s">
        <v>716</v>
      </c>
      <c r="I356" t="s">
        <v>717</v>
      </c>
      <c r="J356" t="str">
        <f t="shared" si="40"/>
        <v>080305</v>
      </c>
      <c r="K356" t="s">
        <v>22</v>
      </c>
      <c r="L356" t="s">
        <v>23</v>
      </c>
      <c r="M356" t="str">
        <f t="shared" si="41"/>
        <v>1</v>
      </c>
      <c r="O356" t="str">
        <f>CONCATENATE("3 ","")</f>
        <v>3 </v>
      </c>
      <c r="P356">
        <v>41.45</v>
      </c>
      <c r="Q356" t="s">
        <v>24</v>
      </c>
    </row>
    <row r="357" spans="1:17" ht="15">
      <c r="A357" t="s">
        <v>17</v>
      </c>
      <c r="B357" s="1">
        <v>43152</v>
      </c>
      <c r="C357" t="s">
        <v>681</v>
      </c>
      <c r="D357" t="str">
        <f>CONCATENATE("0070003968","")</f>
        <v>0070003968</v>
      </c>
      <c r="E357" t="str">
        <f>CONCATENATE("0030502003522       ","")</f>
        <v>0030502003522       </v>
      </c>
      <c r="F357" t="str">
        <f>CONCATENATE("607415847","")</f>
        <v>607415847</v>
      </c>
      <c r="G357" t="s">
        <v>692</v>
      </c>
      <c r="H357" t="s">
        <v>718</v>
      </c>
      <c r="I357" t="s">
        <v>719</v>
      </c>
      <c r="J357" t="str">
        <f t="shared" si="40"/>
        <v>080305</v>
      </c>
      <c r="K357" t="s">
        <v>22</v>
      </c>
      <c r="L357" t="s">
        <v>23</v>
      </c>
      <c r="M357" t="str">
        <f>CONCATENATE("3","")</f>
        <v>3</v>
      </c>
      <c r="O357" t="str">
        <f>CONCATENATE("1 ","")</f>
        <v>1 </v>
      </c>
      <c r="P357">
        <v>57.3</v>
      </c>
      <c r="Q357" t="s">
        <v>51</v>
      </c>
    </row>
    <row r="358" spans="1:17" ht="15">
      <c r="A358" t="s">
        <v>17</v>
      </c>
      <c r="B358" s="1">
        <v>43152</v>
      </c>
      <c r="C358" t="s">
        <v>681</v>
      </c>
      <c r="D358" t="str">
        <f>CONCATENATE("0070003975","")</f>
        <v>0070003975</v>
      </c>
      <c r="E358" t="str">
        <f>CONCATENATE("0030502003580       ","")</f>
        <v>0030502003580       </v>
      </c>
      <c r="F358" t="str">
        <f>CONCATENATE("605154383","")</f>
        <v>605154383</v>
      </c>
      <c r="G358" t="s">
        <v>700</v>
      </c>
      <c r="H358" t="s">
        <v>720</v>
      </c>
      <c r="I358" t="s">
        <v>721</v>
      </c>
      <c r="J358" t="str">
        <f t="shared" si="40"/>
        <v>080305</v>
      </c>
      <c r="K358" t="s">
        <v>22</v>
      </c>
      <c r="L358" t="s">
        <v>23</v>
      </c>
      <c r="M358" t="str">
        <f aca="true" t="shared" si="42" ref="M358:M366">CONCATENATE("1","")</f>
        <v>1</v>
      </c>
      <c r="O358" t="str">
        <f>CONCATENATE("1 ","")</f>
        <v>1 </v>
      </c>
      <c r="P358">
        <v>22.2</v>
      </c>
      <c r="Q358" t="s">
        <v>24</v>
      </c>
    </row>
    <row r="359" spans="1:17" ht="15">
      <c r="A359" t="s">
        <v>17</v>
      </c>
      <c r="B359" s="1">
        <v>43152</v>
      </c>
      <c r="C359" t="s">
        <v>681</v>
      </c>
      <c r="D359" t="str">
        <f>CONCATENATE("0070023888","")</f>
        <v>0070023888</v>
      </c>
      <c r="E359" t="str">
        <f>CONCATENATE("0030502003612       ","")</f>
        <v>0030502003612       </v>
      </c>
      <c r="F359" t="str">
        <f>CONCATENATE("606674602","")</f>
        <v>606674602</v>
      </c>
      <c r="G359" t="s">
        <v>700</v>
      </c>
      <c r="H359" t="s">
        <v>722</v>
      </c>
      <c r="I359" t="s">
        <v>723</v>
      </c>
      <c r="J359" t="str">
        <f t="shared" si="40"/>
        <v>080305</v>
      </c>
      <c r="K359" t="s">
        <v>22</v>
      </c>
      <c r="L359" t="s">
        <v>23</v>
      </c>
      <c r="M359" t="str">
        <f t="shared" si="42"/>
        <v>1</v>
      </c>
      <c r="O359" t="str">
        <f>CONCATENATE("1 ","")</f>
        <v>1 </v>
      </c>
      <c r="P359">
        <v>46.25</v>
      </c>
      <c r="Q359" t="s">
        <v>24</v>
      </c>
    </row>
    <row r="360" spans="1:17" ht="15">
      <c r="A360" t="s">
        <v>17</v>
      </c>
      <c r="B360" s="1">
        <v>43152</v>
      </c>
      <c r="C360" t="s">
        <v>681</v>
      </c>
      <c r="D360" t="str">
        <f>CONCATENATE("0070003980","")</f>
        <v>0070003980</v>
      </c>
      <c r="E360" t="str">
        <f>CONCATENATE("0030502003640       ","")</f>
        <v>0030502003640       </v>
      </c>
      <c r="F360" t="str">
        <f>CONCATENATE("605347364","")</f>
        <v>605347364</v>
      </c>
      <c r="G360" t="s">
        <v>700</v>
      </c>
      <c r="H360" t="s">
        <v>724</v>
      </c>
      <c r="I360" t="s">
        <v>721</v>
      </c>
      <c r="J360" t="str">
        <f t="shared" si="40"/>
        <v>080305</v>
      </c>
      <c r="K360" t="s">
        <v>22</v>
      </c>
      <c r="L360" t="s">
        <v>23</v>
      </c>
      <c r="M360" t="str">
        <f t="shared" si="42"/>
        <v>1</v>
      </c>
      <c r="O360" t="str">
        <f>CONCATENATE("2 ","")</f>
        <v>2 </v>
      </c>
      <c r="P360">
        <v>19.35</v>
      </c>
      <c r="Q360" t="s">
        <v>24</v>
      </c>
    </row>
    <row r="361" spans="1:17" ht="15">
      <c r="A361" t="s">
        <v>17</v>
      </c>
      <c r="B361" s="1">
        <v>43152</v>
      </c>
      <c r="C361" t="s">
        <v>681</v>
      </c>
      <c r="D361" t="str">
        <f>CONCATENATE("0070003982","")</f>
        <v>0070003982</v>
      </c>
      <c r="E361" t="str">
        <f>CONCATENATE("0030502003660       ","")</f>
        <v>0030502003660       </v>
      </c>
      <c r="F361" t="str">
        <f>CONCATENATE("2186682","")</f>
        <v>2186682</v>
      </c>
      <c r="G361" t="s">
        <v>700</v>
      </c>
      <c r="H361" t="s">
        <v>725</v>
      </c>
      <c r="I361" t="s">
        <v>721</v>
      </c>
      <c r="J361" t="str">
        <f t="shared" si="40"/>
        <v>080305</v>
      </c>
      <c r="K361" t="s">
        <v>22</v>
      </c>
      <c r="L361" t="s">
        <v>23</v>
      </c>
      <c r="M361" t="str">
        <f t="shared" si="42"/>
        <v>1</v>
      </c>
      <c r="O361" t="str">
        <f aca="true" t="shared" si="43" ref="O361:O376">CONCATENATE("1 ","")</f>
        <v>1 </v>
      </c>
      <c r="P361">
        <v>10.7</v>
      </c>
      <c r="Q361" t="s">
        <v>24</v>
      </c>
    </row>
    <row r="362" spans="1:17" ht="15">
      <c r="A362" t="s">
        <v>17</v>
      </c>
      <c r="B362" s="1">
        <v>43152</v>
      </c>
      <c r="C362" t="s">
        <v>681</v>
      </c>
      <c r="D362" t="str">
        <f>CONCATENATE("0070020491","")</f>
        <v>0070020491</v>
      </c>
      <c r="E362" t="str">
        <f>CONCATENATE("0030502003920       ","")</f>
        <v>0030502003920       </v>
      </c>
      <c r="F362" t="str">
        <f>CONCATENATE("605940307","")</f>
        <v>605940307</v>
      </c>
      <c r="G362" t="s">
        <v>700</v>
      </c>
      <c r="H362" t="s">
        <v>726</v>
      </c>
      <c r="I362" t="s">
        <v>727</v>
      </c>
      <c r="J362" t="str">
        <f t="shared" si="40"/>
        <v>080305</v>
      </c>
      <c r="K362" t="s">
        <v>22</v>
      </c>
      <c r="L362" t="s">
        <v>23</v>
      </c>
      <c r="M362" t="str">
        <f t="shared" si="42"/>
        <v>1</v>
      </c>
      <c r="O362" t="str">
        <f t="shared" si="43"/>
        <v>1 </v>
      </c>
      <c r="P362">
        <v>12.45</v>
      </c>
      <c r="Q362" t="s">
        <v>24</v>
      </c>
    </row>
    <row r="363" spans="1:17" ht="15">
      <c r="A363" t="s">
        <v>17</v>
      </c>
      <c r="B363" s="1">
        <v>43152</v>
      </c>
      <c r="C363" t="s">
        <v>681</v>
      </c>
      <c r="D363" t="str">
        <f>CONCATENATE("0070004000","")</f>
        <v>0070004000</v>
      </c>
      <c r="E363" t="str">
        <f>CONCATENATE("0030502004018       ","")</f>
        <v>0030502004018       </v>
      </c>
      <c r="F363" t="str">
        <f>CONCATENATE("605117515","")</f>
        <v>605117515</v>
      </c>
      <c r="G363" t="s">
        <v>700</v>
      </c>
      <c r="H363" t="s">
        <v>728</v>
      </c>
      <c r="I363" t="s">
        <v>721</v>
      </c>
      <c r="J363" t="str">
        <f t="shared" si="40"/>
        <v>080305</v>
      </c>
      <c r="K363" t="s">
        <v>22</v>
      </c>
      <c r="L363" t="s">
        <v>23</v>
      </c>
      <c r="M363" t="str">
        <f t="shared" si="42"/>
        <v>1</v>
      </c>
      <c r="O363" t="str">
        <f t="shared" si="43"/>
        <v>1 </v>
      </c>
      <c r="P363">
        <v>135.65</v>
      </c>
      <c r="Q363" t="s">
        <v>24</v>
      </c>
    </row>
    <row r="364" spans="1:17" ht="15">
      <c r="A364" t="s">
        <v>17</v>
      </c>
      <c r="B364" s="1">
        <v>43152</v>
      </c>
      <c r="C364" t="s">
        <v>681</v>
      </c>
      <c r="D364" t="str">
        <f>CONCATENATE("0070004008","")</f>
        <v>0070004008</v>
      </c>
      <c r="E364" t="str">
        <f>CONCATENATE("0030502004150       ","")</f>
        <v>0030502004150       </v>
      </c>
      <c r="F364" t="str">
        <f>CONCATENATE("2121279","")</f>
        <v>2121279</v>
      </c>
      <c r="G364" t="s">
        <v>700</v>
      </c>
      <c r="H364" t="s">
        <v>729</v>
      </c>
      <c r="I364" t="e">
        <f>-CALLE-INCA--HUARCONDO</f>
        <v>#NAME?</v>
      </c>
      <c r="J364" t="str">
        <f t="shared" si="40"/>
        <v>080305</v>
      </c>
      <c r="K364" t="s">
        <v>22</v>
      </c>
      <c r="L364" t="s">
        <v>23</v>
      </c>
      <c r="M364" t="str">
        <f t="shared" si="42"/>
        <v>1</v>
      </c>
      <c r="O364" t="str">
        <f t="shared" si="43"/>
        <v>1 </v>
      </c>
      <c r="P364">
        <v>53.25</v>
      </c>
      <c r="Q364" t="s">
        <v>24</v>
      </c>
    </row>
    <row r="365" spans="1:17" ht="15">
      <c r="A365" t="s">
        <v>17</v>
      </c>
      <c r="B365" s="1">
        <v>43152</v>
      </c>
      <c r="C365" t="s">
        <v>681</v>
      </c>
      <c r="D365" t="str">
        <f>CONCATENATE("0070004019","")</f>
        <v>0070004019</v>
      </c>
      <c r="E365" t="str">
        <f>CONCATENATE("0030502004260       ","")</f>
        <v>0030502004260       </v>
      </c>
      <c r="F365" t="str">
        <f>CONCATENATE("606842395","")</f>
        <v>606842395</v>
      </c>
      <c r="G365" t="s">
        <v>700</v>
      </c>
      <c r="H365" t="s">
        <v>730</v>
      </c>
      <c r="I365" t="s">
        <v>731</v>
      </c>
      <c r="J365" t="str">
        <f t="shared" si="40"/>
        <v>080305</v>
      </c>
      <c r="K365" t="s">
        <v>22</v>
      </c>
      <c r="L365" t="s">
        <v>23</v>
      </c>
      <c r="M365" t="str">
        <f t="shared" si="42"/>
        <v>1</v>
      </c>
      <c r="O365" t="str">
        <f t="shared" si="43"/>
        <v>1 </v>
      </c>
      <c r="P365">
        <v>11.8</v>
      </c>
      <c r="Q365" t="s">
        <v>24</v>
      </c>
    </row>
    <row r="366" spans="1:17" ht="15">
      <c r="A366" t="s">
        <v>17</v>
      </c>
      <c r="B366" s="1">
        <v>43152</v>
      </c>
      <c r="C366" t="s">
        <v>681</v>
      </c>
      <c r="D366" t="str">
        <f>CONCATENATE("0070004078","")</f>
        <v>0070004078</v>
      </c>
      <c r="E366" t="str">
        <f>CONCATENATE("0030502004942       ","")</f>
        <v>0030502004942       </v>
      </c>
      <c r="F366" t="str">
        <f>CONCATENATE("1674074","")</f>
        <v>1674074</v>
      </c>
      <c r="G366" t="s">
        <v>700</v>
      </c>
      <c r="H366" t="s">
        <v>732</v>
      </c>
      <c r="I366" t="s">
        <v>733</v>
      </c>
      <c r="J366" t="str">
        <f t="shared" si="40"/>
        <v>080305</v>
      </c>
      <c r="K366" t="s">
        <v>22</v>
      </c>
      <c r="L366" t="s">
        <v>23</v>
      </c>
      <c r="M366" t="str">
        <f t="shared" si="42"/>
        <v>1</v>
      </c>
      <c r="O366" t="str">
        <f t="shared" si="43"/>
        <v>1 </v>
      </c>
      <c r="P366">
        <v>24.9</v>
      </c>
      <c r="Q366" t="s">
        <v>24</v>
      </c>
    </row>
    <row r="367" spans="1:17" ht="15">
      <c r="A367" t="s">
        <v>17</v>
      </c>
      <c r="B367" s="1">
        <v>43152</v>
      </c>
      <c r="C367" t="s">
        <v>681</v>
      </c>
      <c r="D367" t="str">
        <f>CONCATENATE("0070023053","")</f>
        <v>0070023053</v>
      </c>
      <c r="E367" t="str">
        <f>CONCATENATE("0030502004944       ","")</f>
        <v>0030502004944       </v>
      </c>
      <c r="F367" t="str">
        <f>CONCATENATE("607415582","")</f>
        <v>607415582</v>
      </c>
      <c r="G367" t="s">
        <v>700</v>
      </c>
      <c r="H367" t="s">
        <v>734</v>
      </c>
      <c r="I367" t="s">
        <v>735</v>
      </c>
      <c r="J367" t="str">
        <f t="shared" si="40"/>
        <v>080305</v>
      </c>
      <c r="K367" t="s">
        <v>22</v>
      </c>
      <c r="L367" t="s">
        <v>23</v>
      </c>
      <c r="M367" t="str">
        <f>CONCATENATE("3","")</f>
        <v>3</v>
      </c>
      <c r="O367" t="str">
        <f t="shared" si="43"/>
        <v>1 </v>
      </c>
      <c r="P367">
        <v>33.4</v>
      </c>
      <c r="Q367" t="s">
        <v>51</v>
      </c>
    </row>
    <row r="368" spans="1:17" ht="15">
      <c r="A368" t="s">
        <v>17</v>
      </c>
      <c r="B368" s="1">
        <v>43152</v>
      </c>
      <c r="C368" t="s">
        <v>681</v>
      </c>
      <c r="D368" t="str">
        <f>CONCATENATE("0070004084","")</f>
        <v>0070004084</v>
      </c>
      <c r="E368" t="str">
        <f>CONCATENATE("0030502005070       ","")</f>
        <v>0030502005070       </v>
      </c>
      <c r="F368" t="str">
        <f>CONCATENATE("2121275","")</f>
        <v>2121275</v>
      </c>
      <c r="G368" t="s">
        <v>700</v>
      </c>
      <c r="H368" t="s">
        <v>736</v>
      </c>
      <c r="I368" t="s">
        <v>737</v>
      </c>
      <c r="J368" t="str">
        <f t="shared" si="40"/>
        <v>080305</v>
      </c>
      <c r="K368" t="s">
        <v>22</v>
      </c>
      <c r="L368" t="s">
        <v>23</v>
      </c>
      <c r="M368" t="str">
        <f>CONCATENATE("1","")</f>
        <v>1</v>
      </c>
      <c r="O368" t="str">
        <f t="shared" si="43"/>
        <v>1 </v>
      </c>
      <c r="P368">
        <v>231.3</v>
      </c>
      <c r="Q368" t="s">
        <v>24</v>
      </c>
    </row>
    <row r="369" spans="1:17" ht="15">
      <c r="A369" t="s">
        <v>17</v>
      </c>
      <c r="B369" s="1">
        <v>43152</v>
      </c>
      <c r="C369" t="s">
        <v>681</v>
      </c>
      <c r="D369" t="str">
        <f>CONCATENATE("0070004099","")</f>
        <v>0070004099</v>
      </c>
      <c r="E369" t="str">
        <f>CONCATENATE("0030502005270       ","")</f>
        <v>0030502005270       </v>
      </c>
      <c r="F369" t="str">
        <f>CONCATENATE("605232606","")</f>
        <v>605232606</v>
      </c>
      <c r="G369" t="s">
        <v>700</v>
      </c>
      <c r="H369" t="s">
        <v>738</v>
      </c>
      <c r="I369" t="s">
        <v>737</v>
      </c>
      <c r="J369" t="str">
        <f t="shared" si="40"/>
        <v>080305</v>
      </c>
      <c r="K369" t="s">
        <v>22</v>
      </c>
      <c r="L369" t="s">
        <v>23</v>
      </c>
      <c r="M369" t="str">
        <f>CONCATENATE("1","")</f>
        <v>1</v>
      </c>
      <c r="O369" t="str">
        <f t="shared" si="43"/>
        <v>1 </v>
      </c>
      <c r="P369">
        <v>28.45</v>
      </c>
      <c r="Q369" t="s">
        <v>24</v>
      </c>
    </row>
    <row r="370" spans="1:17" ht="15">
      <c r="A370" t="s">
        <v>17</v>
      </c>
      <c r="B370" s="1">
        <v>43152</v>
      </c>
      <c r="C370" t="s">
        <v>681</v>
      </c>
      <c r="D370" t="str">
        <f>CONCATENATE("0070004126","")</f>
        <v>0070004126</v>
      </c>
      <c r="E370" t="str">
        <f>CONCATENATE("0030505000080       ","")</f>
        <v>0030505000080       </v>
      </c>
      <c r="F370" t="str">
        <f>CONCATENATE("606842411","")</f>
        <v>606842411</v>
      </c>
      <c r="G370" t="s">
        <v>682</v>
      </c>
      <c r="H370" t="s">
        <v>739</v>
      </c>
      <c r="I370" t="s">
        <v>740</v>
      </c>
      <c r="J370" t="str">
        <f t="shared" si="40"/>
        <v>080305</v>
      </c>
      <c r="K370" t="s">
        <v>22</v>
      </c>
      <c r="L370" t="s">
        <v>23</v>
      </c>
      <c r="M370" t="str">
        <f>CONCATENATE("1","")</f>
        <v>1</v>
      </c>
      <c r="N370" t="str">
        <f>CONCATENATE("084636076","")</f>
        <v>084636076</v>
      </c>
      <c r="O370" t="str">
        <f t="shared" si="43"/>
        <v>1 </v>
      </c>
      <c r="P370">
        <v>158.8</v>
      </c>
      <c r="Q370" t="s">
        <v>24</v>
      </c>
    </row>
    <row r="371" spans="1:17" ht="15">
      <c r="A371" t="s">
        <v>17</v>
      </c>
      <c r="B371" s="1">
        <v>43152</v>
      </c>
      <c r="C371" t="s">
        <v>111</v>
      </c>
      <c r="D371" t="str">
        <f>CONCATENATE("0070015693","")</f>
        <v>0070015693</v>
      </c>
      <c r="E371" t="str">
        <f>CONCATENATE("0030519000030       ","")</f>
        <v>0030519000030       </v>
      </c>
      <c r="F371" t="str">
        <f>CONCATENATE("606901830","")</f>
        <v>606901830</v>
      </c>
      <c r="G371" t="s">
        <v>741</v>
      </c>
      <c r="H371" t="s">
        <v>742</v>
      </c>
      <c r="I371" t="s">
        <v>743</v>
      </c>
      <c r="J371" t="str">
        <f aca="true" t="shared" si="44" ref="J371:J380">CONCATENATE("080301","")</f>
        <v>080301</v>
      </c>
      <c r="K371" t="s">
        <v>22</v>
      </c>
      <c r="L371" t="s">
        <v>23</v>
      </c>
      <c r="M371" t="str">
        <f>CONCATENATE("1","")</f>
        <v>1</v>
      </c>
      <c r="O371" t="str">
        <f t="shared" si="43"/>
        <v>1 </v>
      </c>
      <c r="P371">
        <v>14.7</v>
      </c>
      <c r="Q371" t="s">
        <v>24</v>
      </c>
    </row>
    <row r="372" spans="1:17" ht="15">
      <c r="A372" t="s">
        <v>17</v>
      </c>
      <c r="B372" s="1">
        <v>43152</v>
      </c>
      <c r="C372" t="s">
        <v>111</v>
      </c>
      <c r="D372" t="str">
        <f>CONCATENATE("0070015692","")</f>
        <v>0070015692</v>
      </c>
      <c r="E372" t="str">
        <f>CONCATENATE("0030519000130       ","")</f>
        <v>0030519000130       </v>
      </c>
      <c r="F372" t="str">
        <f>CONCATENATE("606901807","")</f>
        <v>606901807</v>
      </c>
      <c r="G372" t="s">
        <v>741</v>
      </c>
      <c r="H372" t="s">
        <v>744</v>
      </c>
      <c r="I372" t="s">
        <v>743</v>
      </c>
      <c r="J372" t="str">
        <f t="shared" si="44"/>
        <v>080301</v>
      </c>
      <c r="K372" t="s">
        <v>22</v>
      </c>
      <c r="L372" t="s">
        <v>23</v>
      </c>
      <c r="M372" t="str">
        <f>CONCATENATE("1","")</f>
        <v>1</v>
      </c>
      <c r="O372" t="str">
        <f t="shared" si="43"/>
        <v>1 </v>
      </c>
      <c r="P372">
        <v>77.2</v>
      </c>
      <c r="Q372" t="s">
        <v>24</v>
      </c>
    </row>
    <row r="373" spans="1:17" ht="15">
      <c r="A373" t="s">
        <v>17</v>
      </c>
      <c r="B373" s="1">
        <v>43152</v>
      </c>
      <c r="C373" t="s">
        <v>111</v>
      </c>
      <c r="D373" t="str">
        <f>CONCATENATE("0070020536","")</f>
        <v>0070020536</v>
      </c>
      <c r="E373" t="str">
        <f>CONCATENATE("0030519000155       ","")</f>
        <v>0030519000155       </v>
      </c>
      <c r="F373" t="str">
        <f>CONCATENATE("507007844","")</f>
        <v>507007844</v>
      </c>
      <c r="G373" t="s">
        <v>741</v>
      </c>
      <c r="H373" t="s">
        <v>745</v>
      </c>
      <c r="I373" t="s">
        <v>746</v>
      </c>
      <c r="J373" t="str">
        <f t="shared" si="44"/>
        <v>080301</v>
      </c>
      <c r="K373" t="s">
        <v>22</v>
      </c>
      <c r="L373" t="s">
        <v>23</v>
      </c>
      <c r="M373" t="str">
        <f>CONCATENATE("3","")</f>
        <v>3</v>
      </c>
      <c r="O373" t="str">
        <f t="shared" si="43"/>
        <v>1 </v>
      </c>
      <c r="P373">
        <v>70.4</v>
      </c>
      <c r="Q373" t="s">
        <v>51</v>
      </c>
    </row>
    <row r="374" spans="1:17" ht="15">
      <c r="A374" t="s">
        <v>17</v>
      </c>
      <c r="B374" s="1">
        <v>43152</v>
      </c>
      <c r="C374" t="s">
        <v>111</v>
      </c>
      <c r="D374" t="str">
        <f>CONCATENATE("0070012740","")</f>
        <v>0070012740</v>
      </c>
      <c r="E374" t="str">
        <f>CONCATENATE("0030519001300       ","")</f>
        <v>0030519001300       </v>
      </c>
      <c r="F374" t="str">
        <f>CONCATENATE("605741248","")</f>
        <v>605741248</v>
      </c>
      <c r="G374" t="s">
        <v>741</v>
      </c>
      <c r="H374" t="s">
        <v>747</v>
      </c>
      <c r="I374" t="s">
        <v>748</v>
      </c>
      <c r="J374" t="str">
        <f t="shared" si="44"/>
        <v>080301</v>
      </c>
      <c r="K374" t="s">
        <v>22</v>
      </c>
      <c r="L374" t="s">
        <v>23</v>
      </c>
      <c r="M374" t="str">
        <f>CONCATENATE("1","")</f>
        <v>1</v>
      </c>
      <c r="O374" t="str">
        <f t="shared" si="43"/>
        <v>1 </v>
      </c>
      <c r="P374">
        <v>16.6</v>
      </c>
      <c r="Q374" t="s">
        <v>24</v>
      </c>
    </row>
    <row r="375" spans="1:17" ht="15">
      <c r="A375" t="s">
        <v>17</v>
      </c>
      <c r="B375" s="1">
        <v>43152</v>
      </c>
      <c r="C375" t="s">
        <v>111</v>
      </c>
      <c r="D375" t="str">
        <f>CONCATENATE("0070021658","")</f>
        <v>0070021658</v>
      </c>
      <c r="E375" t="str">
        <f>CONCATENATE("0030519002507       ","")</f>
        <v>0030519002507       </v>
      </c>
      <c r="F375" t="str">
        <f>CONCATENATE("1937458","")</f>
        <v>1937458</v>
      </c>
      <c r="G375" t="s">
        <v>741</v>
      </c>
      <c r="H375" t="s">
        <v>749</v>
      </c>
      <c r="I375" t="s">
        <v>750</v>
      </c>
      <c r="J375" t="str">
        <f t="shared" si="44"/>
        <v>080301</v>
      </c>
      <c r="K375" t="s">
        <v>22</v>
      </c>
      <c r="L375" t="s">
        <v>23</v>
      </c>
      <c r="M375" t="str">
        <f>CONCATENATE("1","")</f>
        <v>1</v>
      </c>
      <c r="O375" t="str">
        <f t="shared" si="43"/>
        <v>1 </v>
      </c>
      <c r="P375">
        <v>11.85</v>
      </c>
      <c r="Q375" t="s">
        <v>24</v>
      </c>
    </row>
    <row r="376" spans="1:17" ht="15">
      <c r="A376" t="s">
        <v>17</v>
      </c>
      <c r="B376" s="1">
        <v>43152</v>
      </c>
      <c r="C376" t="s">
        <v>111</v>
      </c>
      <c r="D376" t="str">
        <f>CONCATENATE("0070024632","")</f>
        <v>0070024632</v>
      </c>
      <c r="E376" t="str">
        <f>CONCATENATE("0030519002520       ","")</f>
        <v>0030519002520       </v>
      </c>
      <c r="F376" t="str">
        <f>CONCATENATE("606749321","")</f>
        <v>606749321</v>
      </c>
      <c r="G376" t="s">
        <v>741</v>
      </c>
      <c r="H376" t="s">
        <v>744</v>
      </c>
      <c r="I376" t="s">
        <v>751</v>
      </c>
      <c r="J376" t="str">
        <f t="shared" si="44"/>
        <v>080301</v>
      </c>
      <c r="K376" t="s">
        <v>22</v>
      </c>
      <c r="L376" t="s">
        <v>23</v>
      </c>
      <c r="M376" t="str">
        <f>CONCATENATE("1","")</f>
        <v>1</v>
      </c>
      <c r="O376" t="str">
        <f t="shared" si="43"/>
        <v>1 </v>
      </c>
      <c r="P376">
        <v>75.55</v>
      </c>
      <c r="Q376" t="s">
        <v>24</v>
      </c>
    </row>
    <row r="377" spans="1:17" ht="15">
      <c r="A377" t="s">
        <v>17</v>
      </c>
      <c r="B377" s="1">
        <v>43152</v>
      </c>
      <c r="C377" t="s">
        <v>111</v>
      </c>
      <c r="D377" t="str">
        <f>CONCATENATE("0070004153","")</f>
        <v>0070004153</v>
      </c>
      <c r="E377" t="str">
        <f>CONCATENATE("0030520000090       ","")</f>
        <v>0030520000090       </v>
      </c>
      <c r="F377" t="str">
        <f>CONCATENATE("2121268","")</f>
        <v>2121268</v>
      </c>
      <c r="G377" t="s">
        <v>752</v>
      </c>
      <c r="H377" t="s">
        <v>753</v>
      </c>
      <c r="I377" t="s">
        <v>754</v>
      </c>
      <c r="J377" t="str">
        <f t="shared" si="44"/>
        <v>080301</v>
      </c>
      <c r="K377" t="s">
        <v>22</v>
      </c>
      <c r="L377" t="s">
        <v>23</v>
      </c>
      <c r="M377" t="str">
        <f>CONCATENATE("1","")</f>
        <v>1</v>
      </c>
      <c r="O377" t="str">
        <f>CONCATENATE("2 ","")</f>
        <v>2 </v>
      </c>
      <c r="P377">
        <v>101.95</v>
      </c>
      <c r="Q377" t="s">
        <v>24</v>
      </c>
    </row>
    <row r="378" spans="1:17" ht="15">
      <c r="A378" t="s">
        <v>17</v>
      </c>
      <c r="B378" s="1">
        <v>43152</v>
      </c>
      <c r="C378" t="s">
        <v>111</v>
      </c>
      <c r="D378" t="str">
        <f>CONCATENATE("0070004169","")</f>
        <v>0070004169</v>
      </c>
      <c r="E378" t="str">
        <f>CONCATENATE("0030520000250       ","")</f>
        <v>0030520000250       </v>
      </c>
      <c r="F378" t="str">
        <f>CONCATENATE("2128315","")</f>
        <v>2128315</v>
      </c>
      <c r="G378" t="s">
        <v>752</v>
      </c>
      <c r="H378" t="s">
        <v>755</v>
      </c>
      <c r="I378" t="s">
        <v>754</v>
      </c>
      <c r="J378" t="str">
        <f t="shared" si="44"/>
        <v>080301</v>
      </c>
      <c r="K378" t="s">
        <v>22</v>
      </c>
      <c r="L378" t="s">
        <v>23</v>
      </c>
      <c r="M378" t="str">
        <f>CONCATENATE("1","")</f>
        <v>1</v>
      </c>
      <c r="O378" t="str">
        <f aca="true" t="shared" si="45" ref="O378:O391">CONCATENATE("1 ","")</f>
        <v>1 </v>
      </c>
      <c r="P378">
        <v>65.3</v>
      </c>
      <c r="Q378" t="s">
        <v>24</v>
      </c>
    </row>
    <row r="379" spans="1:17" ht="15">
      <c r="A379" t="s">
        <v>17</v>
      </c>
      <c r="B379" s="1">
        <v>43152</v>
      </c>
      <c r="C379" t="s">
        <v>111</v>
      </c>
      <c r="D379" t="str">
        <f>CONCATENATE("0070014216","")</f>
        <v>0070014216</v>
      </c>
      <c r="E379" t="str">
        <f>CONCATENATE("0030520000785       ","")</f>
        <v>0030520000785       </v>
      </c>
      <c r="F379" t="str">
        <f>CONCATENATE("13020788","")</f>
        <v>13020788</v>
      </c>
      <c r="G379" t="s">
        <v>752</v>
      </c>
      <c r="H379" t="s">
        <v>756</v>
      </c>
      <c r="I379" t="s">
        <v>757</v>
      </c>
      <c r="J379" t="str">
        <f t="shared" si="44"/>
        <v>080301</v>
      </c>
      <c r="K379" t="s">
        <v>22</v>
      </c>
      <c r="L379" t="s">
        <v>23</v>
      </c>
      <c r="M379" t="str">
        <f>CONCATENATE("3","")</f>
        <v>3</v>
      </c>
      <c r="O379" t="str">
        <f t="shared" si="45"/>
        <v>1 </v>
      </c>
      <c r="P379">
        <v>73.2</v>
      </c>
      <c r="Q379" t="s">
        <v>51</v>
      </c>
    </row>
    <row r="380" spans="1:17" ht="15">
      <c r="A380" t="s">
        <v>17</v>
      </c>
      <c r="B380" s="1">
        <v>43152</v>
      </c>
      <c r="C380" t="s">
        <v>111</v>
      </c>
      <c r="D380" t="str">
        <f>CONCATENATE("0070004250","")</f>
        <v>0070004250</v>
      </c>
      <c r="E380" t="str">
        <f>CONCATENATE("0030520001070       ","")</f>
        <v>0030520001070       </v>
      </c>
      <c r="F380" t="str">
        <f>CONCATENATE("2125713","")</f>
        <v>2125713</v>
      </c>
      <c r="G380" t="s">
        <v>752</v>
      </c>
      <c r="H380" t="s">
        <v>758</v>
      </c>
      <c r="I380" t="s">
        <v>754</v>
      </c>
      <c r="J380" t="str">
        <f t="shared" si="44"/>
        <v>080301</v>
      </c>
      <c r="K380" t="s">
        <v>22</v>
      </c>
      <c r="L380" t="s">
        <v>23</v>
      </c>
      <c r="M380" t="str">
        <f aca="true" t="shared" si="46" ref="M380:M385">CONCATENATE("1","")</f>
        <v>1</v>
      </c>
      <c r="O380" t="str">
        <f t="shared" si="45"/>
        <v>1 </v>
      </c>
      <c r="P380">
        <v>6.95</v>
      </c>
      <c r="Q380" t="s">
        <v>24</v>
      </c>
    </row>
    <row r="381" spans="1:17" ht="15">
      <c r="A381" t="s">
        <v>17</v>
      </c>
      <c r="B381" s="1">
        <v>43152</v>
      </c>
      <c r="C381" t="s">
        <v>681</v>
      </c>
      <c r="D381" t="str">
        <f>CONCATENATE("0070004275","")</f>
        <v>0070004275</v>
      </c>
      <c r="E381" t="str">
        <f>CONCATENATE("0030521000060       ","")</f>
        <v>0030521000060       </v>
      </c>
      <c r="F381" t="str">
        <f>CONCATENATE("606842389","")</f>
        <v>606842389</v>
      </c>
      <c r="G381" t="s">
        <v>759</v>
      </c>
      <c r="H381" t="s">
        <v>760</v>
      </c>
      <c r="I381" t="s">
        <v>761</v>
      </c>
      <c r="J381" t="str">
        <f>CONCATENATE("080305","")</f>
        <v>080305</v>
      </c>
      <c r="K381" t="s">
        <v>22</v>
      </c>
      <c r="L381" t="s">
        <v>23</v>
      </c>
      <c r="M381" t="str">
        <f t="shared" si="46"/>
        <v>1</v>
      </c>
      <c r="O381" t="str">
        <f t="shared" si="45"/>
        <v>1 </v>
      </c>
      <c r="P381">
        <v>90.4</v>
      </c>
      <c r="Q381" t="s">
        <v>24</v>
      </c>
    </row>
    <row r="382" spans="1:17" ht="15">
      <c r="A382" t="s">
        <v>17</v>
      </c>
      <c r="B382" s="1">
        <v>43152</v>
      </c>
      <c r="C382" t="s">
        <v>681</v>
      </c>
      <c r="D382" t="str">
        <f>CONCATENATE("0070004316","")</f>
        <v>0070004316</v>
      </c>
      <c r="E382" t="str">
        <f>CONCATENATE("0030526000060       ","")</f>
        <v>0030526000060       </v>
      </c>
      <c r="F382" t="str">
        <f>CONCATENATE("605154408","")</f>
        <v>605154408</v>
      </c>
      <c r="G382" t="s">
        <v>762</v>
      </c>
      <c r="H382" t="s">
        <v>763</v>
      </c>
      <c r="I382" t="s">
        <v>764</v>
      </c>
      <c r="J382" t="str">
        <f>CONCATENATE("080309","")</f>
        <v>080309</v>
      </c>
      <c r="K382" t="s">
        <v>22</v>
      </c>
      <c r="L382" t="s">
        <v>23</v>
      </c>
      <c r="M382" t="str">
        <f t="shared" si="46"/>
        <v>1</v>
      </c>
      <c r="O382" t="str">
        <f t="shared" si="45"/>
        <v>1 </v>
      </c>
      <c r="P382">
        <v>30</v>
      </c>
      <c r="Q382" t="s">
        <v>24</v>
      </c>
    </row>
    <row r="383" spans="1:17" ht="15">
      <c r="A383" t="s">
        <v>17</v>
      </c>
      <c r="B383" s="1">
        <v>43152</v>
      </c>
      <c r="C383" t="s">
        <v>681</v>
      </c>
      <c r="D383" t="str">
        <f>CONCATENATE("0070004321","")</f>
        <v>0070004321</v>
      </c>
      <c r="E383" t="str">
        <f>CONCATENATE("0030526000110       ","")</f>
        <v>0030526000110       </v>
      </c>
      <c r="F383" t="str">
        <f>CONCATENATE("606754679","")</f>
        <v>606754679</v>
      </c>
      <c r="G383" t="s">
        <v>762</v>
      </c>
      <c r="H383" t="s">
        <v>765</v>
      </c>
      <c r="I383" t="s">
        <v>764</v>
      </c>
      <c r="J383" t="str">
        <f>CONCATENATE("080309","")</f>
        <v>080309</v>
      </c>
      <c r="K383" t="s">
        <v>22</v>
      </c>
      <c r="L383" t="s">
        <v>23</v>
      </c>
      <c r="M383" t="str">
        <f t="shared" si="46"/>
        <v>1</v>
      </c>
      <c r="O383" t="str">
        <f t="shared" si="45"/>
        <v>1 </v>
      </c>
      <c r="P383">
        <v>18.05</v>
      </c>
      <c r="Q383" t="s">
        <v>24</v>
      </c>
    </row>
    <row r="384" spans="1:17" ht="15">
      <c r="A384" t="s">
        <v>17</v>
      </c>
      <c r="B384" s="1">
        <v>43152</v>
      </c>
      <c r="C384" t="s">
        <v>681</v>
      </c>
      <c r="D384" t="str">
        <f>CONCATENATE("0070004324","")</f>
        <v>0070004324</v>
      </c>
      <c r="E384" t="str">
        <f>CONCATENATE("0030526000140       ","")</f>
        <v>0030526000140       </v>
      </c>
      <c r="F384" t="str">
        <f>CONCATENATE("605351181","")</f>
        <v>605351181</v>
      </c>
      <c r="G384" t="s">
        <v>762</v>
      </c>
      <c r="H384" t="s">
        <v>766</v>
      </c>
      <c r="I384" t="s">
        <v>764</v>
      </c>
      <c r="J384" t="str">
        <f>CONCATENATE("080309","")</f>
        <v>080309</v>
      </c>
      <c r="K384" t="s">
        <v>22</v>
      </c>
      <c r="L384" t="s">
        <v>23</v>
      </c>
      <c r="M384" t="str">
        <f t="shared" si="46"/>
        <v>1</v>
      </c>
      <c r="O384" t="str">
        <f t="shared" si="45"/>
        <v>1 </v>
      </c>
      <c r="P384">
        <v>11.85</v>
      </c>
      <c r="Q384" t="s">
        <v>24</v>
      </c>
    </row>
    <row r="385" spans="1:17" ht="15">
      <c r="A385" t="s">
        <v>17</v>
      </c>
      <c r="B385" s="1">
        <v>43152</v>
      </c>
      <c r="C385" t="s">
        <v>111</v>
      </c>
      <c r="D385" t="str">
        <f>CONCATENATE("0070004348","")</f>
        <v>0070004348</v>
      </c>
      <c r="E385" t="str">
        <f>CONCATENATE("0030601000005       ","")</f>
        <v>0030601000005       </v>
      </c>
      <c r="F385" t="str">
        <f>CONCATENATE("606758258","")</f>
        <v>606758258</v>
      </c>
      <c r="G385" t="s">
        <v>767</v>
      </c>
      <c r="H385" t="s">
        <v>380</v>
      </c>
      <c r="I385" t="s">
        <v>768</v>
      </c>
      <c r="J385" t="str">
        <f aca="true" t="shared" si="47" ref="J385:J416">CONCATENATE("080301","")</f>
        <v>080301</v>
      </c>
      <c r="K385" t="s">
        <v>22</v>
      </c>
      <c r="L385" t="s">
        <v>23</v>
      </c>
      <c r="M385" t="str">
        <f t="shared" si="46"/>
        <v>1</v>
      </c>
      <c r="O385" t="str">
        <f t="shared" si="45"/>
        <v>1 </v>
      </c>
      <c r="P385">
        <v>1341.3</v>
      </c>
      <c r="Q385" t="s">
        <v>24</v>
      </c>
    </row>
    <row r="386" spans="1:17" ht="15">
      <c r="A386" t="s">
        <v>17</v>
      </c>
      <c r="B386" s="1">
        <v>43152</v>
      </c>
      <c r="C386" t="s">
        <v>111</v>
      </c>
      <c r="D386" t="str">
        <f>CONCATENATE("0070004352","")</f>
        <v>0070004352</v>
      </c>
      <c r="E386" t="str">
        <f>CONCATENATE("0030601000015       ","")</f>
        <v>0030601000015       </v>
      </c>
      <c r="F386" t="str">
        <f>CONCATENATE("507003194","")</f>
        <v>507003194</v>
      </c>
      <c r="G386" t="s">
        <v>767</v>
      </c>
      <c r="H386" t="s">
        <v>769</v>
      </c>
      <c r="I386" t="s">
        <v>770</v>
      </c>
      <c r="J386" t="str">
        <f t="shared" si="47"/>
        <v>080301</v>
      </c>
      <c r="K386" t="s">
        <v>22</v>
      </c>
      <c r="L386" t="s">
        <v>23</v>
      </c>
      <c r="M386" t="str">
        <f>CONCATENATE("3","")</f>
        <v>3</v>
      </c>
      <c r="O386" t="str">
        <f t="shared" si="45"/>
        <v>1 </v>
      </c>
      <c r="P386">
        <v>401</v>
      </c>
      <c r="Q386" t="s">
        <v>51</v>
      </c>
    </row>
    <row r="387" spans="1:17" ht="15">
      <c r="A387" t="s">
        <v>17</v>
      </c>
      <c r="B387" s="1">
        <v>43152</v>
      </c>
      <c r="C387" t="s">
        <v>111</v>
      </c>
      <c r="D387" t="str">
        <f>CONCATENATE("0070028344","")</f>
        <v>0070028344</v>
      </c>
      <c r="E387" t="str">
        <f>CONCATENATE("0030601000067       ","")</f>
        <v>0030601000067       </v>
      </c>
      <c r="F387" t="str">
        <f>CONCATENATE("606904968","")</f>
        <v>606904968</v>
      </c>
      <c r="G387" t="s">
        <v>767</v>
      </c>
      <c r="H387" t="s">
        <v>771</v>
      </c>
      <c r="I387" t="s">
        <v>772</v>
      </c>
      <c r="J387" t="str">
        <f t="shared" si="47"/>
        <v>080301</v>
      </c>
      <c r="K387" t="s">
        <v>22</v>
      </c>
      <c r="L387" t="s">
        <v>23</v>
      </c>
      <c r="M387" t="str">
        <f aca="true" t="shared" si="48" ref="M387:M400">CONCATENATE("1","")</f>
        <v>1</v>
      </c>
      <c r="N387" t="str">
        <f>CONCATENATE("940814360","")</f>
        <v>940814360</v>
      </c>
      <c r="O387" t="str">
        <f t="shared" si="45"/>
        <v>1 </v>
      </c>
      <c r="P387">
        <v>56.55</v>
      </c>
      <c r="Q387" t="s">
        <v>24</v>
      </c>
    </row>
    <row r="388" spans="1:17" ht="15">
      <c r="A388" t="s">
        <v>17</v>
      </c>
      <c r="B388" s="1">
        <v>43152</v>
      </c>
      <c r="C388" t="s">
        <v>111</v>
      </c>
      <c r="D388" t="str">
        <f>CONCATENATE("0070021809","")</f>
        <v>0070021809</v>
      </c>
      <c r="E388" t="str">
        <f>CONCATENATE("0030601000142       ","")</f>
        <v>0030601000142       </v>
      </c>
      <c r="F388" t="str">
        <f>CONCATENATE("1860587","")</f>
        <v>1860587</v>
      </c>
      <c r="G388" t="s">
        <v>773</v>
      </c>
      <c r="H388" t="s">
        <v>774</v>
      </c>
      <c r="I388" t="s">
        <v>775</v>
      </c>
      <c r="J388" t="str">
        <f t="shared" si="47"/>
        <v>080301</v>
      </c>
      <c r="K388" t="s">
        <v>22</v>
      </c>
      <c r="L388" t="s">
        <v>23</v>
      </c>
      <c r="M388" t="str">
        <f t="shared" si="48"/>
        <v>1</v>
      </c>
      <c r="O388" t="str">
        <f t="shared" si="45"/>
        <v>1 </v>
      </c>
      <c r="P388">
        <v>116.6</v>
      </c>
      <c r="Q388" t="s">
        <v>24</v>
      </c>
    </row>
    <row r="389" spans="1:17" ht="15">
      <c r="A389" t="s">
        <v>17</v>
      </c>
      <c r="B389" s="1">
        <v>43152</v>
      </c>
      <c r="C389" t="s">
        <v>111</v>
      </c>
      <c r="D389" t="str">
        <f>CONCATENATE("0070023855","")</f>
        <v>0070023855</v>
      </c>
      <c r="E389" t="str">
        <f>CONCATENATE("0030601000152       ","")</f>
        <v>0030601000152       </v>
      </c>
      <c r="F389" t="str">
        <f>CONCATENATE("606664095","")</f>
        <v>606664095</v>
      </c>
      <c r="G389" t="s">
        <v>773</v>
      </c>
      <c r="H389" t="s">
        <v>774</v>
      </c>
      <c r="I389" t="s">
        <v>776</v>
      </c>
      <c r="J389" t="str">
        <f t="shared" si="47"/>
        <v>080301</v>
      </c>
      <c r="K389" t="s">
        <v>22</v>
      </c>
      <c r="L389" t="s">
        <v>23</v>
      </c>
      <c r="M389" t="str">
        <f t="shared" si="48"/>
        <v>1</v>
      </c>
      <c r="O389" t="str">
        <f t="shared" si="45"/>
        <v>1 </v>
      </c>
      <c r="P389">
        <v>78.2</v>
      </c>
      <c r="Q389" t="s">
        <v>24</v>
      </c>
    </row>
    <row r="390" spans="1:17" ht="15">
      <c r="A390" t="s">
        <v>17</v>
      </c>
      <c r="B390" s="1">
        <v>43152</v>
      </c>
      <c r="C390" t="s">
        <v>111</v>
      </c>
      <c r="D390" t="str">
        <f>CONCATENATE("0070004395","")</f>
        <v>0070004395</v>
      </c>
      <c r="E390" t="str">
        <f>CONCATENATE("0030601000166       ","")</f>
        <v>0030601000166       </v>
      </c>
      <c r="F390" t="str">
        <f>CONCATENATE("1944707","")</f>
        <v>1944707</v>
      </c>
      <c r="G390" t="s">
        <v>767</v>
      </c>
      <c r="H390" t="s">
        <v>777</v>
      </c>
      <c r="I390" t="s">
        <v>778</v>
      </c>
      <c r="J390" t="str">
        <f t="shared" si="47"/>
        <v>080301</v>
      </c>
      <c r="K390" t="s">
        <v>22</v>
      </c>
      <c r="L390" t="s">
        <v>23</v>
      </c>
      <c r="M390" t="str">
        <f t="shared" si="48"/>
        <v>1</v>
      </c>
      <c r="O390" t="str">
        <f t="shared" si="45"/>
        <v>1 </v>
      </c>
      <c r="P390">
        <v>267.3</v>
      </c>
      <c r="Q390" t="s">
        <v>24</v>
      </c>
    </row>
    <row r="391" spans="1:17" ht="15">
      <c r="A391" t="s">
        <v>17</v>
      </c>
      <c r="B391" s="1">
        <v>43152</v>
      </c>
      <c r="C391" t="s">
        <v>111</v>
      </c>
      <c r="D391" t="str">
        <f>CONCATENATE("0070009552","")</f>
        <v>0070009552</v>
      </c>
      <c r="E391" t="str">
        <f>CONCATENATE("0030601000235       ","")</f>
        <v>0030601000235       </v>
      </c>
      <c r="F391" t="str">
        <f>CONCATENATE("00000007369","")</f>
        <v>00000007369</v>
      </c>
      <c r="G391" t="s">
        <v>767</v>
      </c>
      <c r="H391" t="s">
        <v>779</v>
      </c>
      <c r="I391" t="s">
        <v>780</v>
      </c>
      <c r="J391" t="str">
        <f t="shared" si="47"/>
        <v>080301</v>
      </c>
      <c r="K391" t="s">
        <v>22</v>
      </c>
      <c r="L391" t="s">
        <v>23</v>
      </c>
      <c r="M391" t="str">
        <f t="shared" si="48"/>
        <v>1</v>
      </c>
      <c r="O391" t="str">
        <f t="shared" si="45"/>
        <v>1 </v>
      </c>
      <c r="P391">
        <v>669.7</v>
      </c>
      <c r="Q391" t="s">
        <v>24</v>
      </c>
    </row>
    <row r="392" spans="1:17" ht="15">
      <c r="A392" t="s">
        <v>17</v>
      </c>
      <c r="B392" s="1">
        <v>43152</v>
      </c>
      <c r="C392" t="s">
        <v>111</v>
      </c>
      <c r="D392" t="str">
        <f>CONCATENATE("0070028329","")</f>
        <v>0070028329</v>
      </c>
      <c r="E392" t="str">
        <f>CONCATENATE("0030601000307       ","")</f>
        <v>0030601000307       </v>
      </c>
      <c r="F392" t="str">
        <f>CONCATENATE("607537178","")</f>
        <v>607537178</v>
      </c>
      <c r="G392" t="s">
        <v>781</v>
      </c>
      <c r="H392" t="s">
        <v>782</v>
      </c>
      <c r="I392" t="s">
        <v>783</v>
      </c>
      <c r="J392" t="str">
        <f t="shared" si="47"/>
        <v>080301</v>
      </c>
      <c r="K392" t="s">
        <v>22</v>
      </c>
      <c r="L392" t="s">
        <v>23</v>
      </c>
      <c r="M392" t="str">
        <f t="shared" si="48"/>
        <v>1</v>
      </c>
      <c r="O392" t="str">
        <f>CONCATENATE("2 ","")</f>
        <v>2 </v>
      </c>
      <c r="P392">
        <v>48.3</v>
      </c>
      <c r="Q392" t="s">
        <v>24</v>
      </c>
    </row>
    <row r="393" spans="1:17" ht="15">
      <c r="A393" t="s">
        <v>17</v>
      </c>
      <c r="B393" s="1">
        <v>43152</v>
      </c>
      <c r="C393" t="s">
        <v>111</v>
      </c>
      <c r="D393" t="str">
        <f>CONCATENATE("0070013223","")</f>
        <v>0070013223</v>
      </c>
      <c r="E393" t="str">
        <f>CONCATENATE("0030601000328       ","")</f>
        <v>0030601000328       </v>
      </c>
      <c r="F393" t="str">
        <f>CONCATENATE("607307615","")</f>
        <v>607307615</v>
      </c>
      <c r="G393" t="s">
        <v>781</v>
      </c>
      <c r="H393" t="s">
        <v>784</v>
      </c>
      <c r="I393" t="s">
        <v>785</v>
      </c>
      <c r="J393" t="str">
        <f t="shared" si="47"/>
        <v>080301</v>
      </c>
      <c r="K393" t="s">
        <v>22</v>
      </c>
      <c r="L393" t="s">
        <v>23</v>
      </c>
      <c r="M393" t="str">
        <f t="shared" si="48"/>
        <v>1</v>
      </c>
      <c r="O393" t="str">
        <f aca="true" t="shared" si="49" ref="O393:O425">CONCATENATE("1 ","")</f>
        <v>1 </v>
      </c>
      <c r="P393">
        <v>13.35</v>
      </c>
      <c r="Q393" t="s">
        <v>24</v>
      </c>
    </row>
    <row r="394" spans="1:17" ht="15">
      <c r="A394" t="s">
        <v>17</v>
      </c>
      <c r="B394" s="1">
        <v>43152</v>
      </c>
      <c r="C394" t="s">
        <v>111</v>
      </c>
      <c r="D394" t="str">
        <f>CONCATENATE("0070004429","")</f>
        <v>0070004429</v>
      </c>
      <c r="E394" t="str">
        <f>CONCATENATE("0030601000335       ","")</f>
        <v>0030601000335       </v>
      </c>
      <c r="F394" t="str">
        <f>CONCATENATE("1674087","")</f>
        <v>1674087</v>
      </c>
      <c r="G394" t="s">
        <v>781</v>
      </c>
      <c r="H394" t="s">
        <v>786</v>
      </c>
      <c r="I394" t="s">
        <v>787</v>
      </c>
      <c r="J394" t="str">
        <f t="shared" si="47"/>
        <v>080301</v>
      </c>
      <c r="K394" t="s">
        <v>22</v>
      </c>
      <c r="L394" t="s">
        <v>23</v>
      </c>
      <c r="M394" t="str">
        <f t="shared" si="48"/>
        <v>1</v>
      </c>
      <c r="O394" t="str">
        <f t="shared" si="49"/>
        <v>1 </v>
      </c>
      <c r="P394">
        <v>209.5</v>
      </c>
      <c r="Q394" t="s">
        <v>24</v>
      </c>
    </row>
    <row r="395" spans="1:17" ht="15">
      <c r="A395" t="s">
        <v>17</v>
      </c>
      <c r="B395" s="1">
        <v>43152</v>
      </c>
      <c r="C395" t="s">
        <v>111</v>
      </c>
      <c r="D395" t="str">
        <f>CONCATENATE("0070004433","")</f>
        <v>0070004433</v>
      </c>
      <c r="E395" t="str">
        <f>CONCATENATE("0030601000350       ","")</f>
        <v>0030601000350       </v>
      </c>
      <c r="F395" t="str">
        <f>CONCATENATE("00000000413","")</f>
        <v>00000000413</v>
      </c>
      <c r="G395" t="s">
        <v>781</v>
      </c>
      <c r="H395" t="s">
        <v>788</v>
      </c>
      <c r="I395" t="s">
        <v>787</v>
      </c>
      <c r="J395" t="str">
        <f t="shared" si="47"/>
        <v>080301</v>
      </c>
      <c r="K395" t="s">
        <v>22</v>
      </c>
      <c r="L395" t="s">
        <v>23</v>
      </c>
      <c r="M395" t="str">
        <f t="shared" si="48"/>
        <v>1</v>
      </c>
      <c r="O395" t="str">
        <f t="shared" si="49"/>
        <v>1 </v>
      </c>
      <c r="P395">
        <v>276.7</v>
      </c>
      <c r="Q395" t="s">
        <v>24</v>
      </c>
    </row>
    <row r="396" spans="1:17" ht="15">
      <c r="A396" t="s">
        <v>17</v>
      </c>
      <c r="B396" s="1">
        <v>43152</v>
      </c>
      <c r="C396" t="s">
        <v>111</v>
      </c>
      <c r="D396" t="str">
        <f>CONCATENATE("0070004438","")</f>
        <v>0070004438</v>
      </c>
      <c r="E396" t="str">
        <f>CONCATENATE("0030601000376       ","")</f>
        <v>0030601000376       </v>
      </c>
      <c r="F396" t="str">
        <f>CONCATENATE("606086268","")</f>
        <v>606086268</v>
      </c>
      <c r="G396" t="s">
        <v>781</v>
      </c>
      <c r="H396" t="s">
        <v>789</v>
      </c>
      <c r="I396" t="s">
        <v>790</v>
      </c>
      <c r="J396" t="str">
        <f t="shared" si="47"/>
        <v>080301</v>
      </c>
      <c r="K396" t="s">
        <v>22</v>
      </c>
      <c r="L396" t="s">
        <v>23</v>
      </c>
      <c r="M396" t="str">
        <f t="shared" si="48"/>
        <v>1</v>
      </c>
      <c r="O396" t="str">
        <f t="shared" si="49"/>
        <v>1 </v>
      </c>
      <c r="P396">
        <v>66.45</v>
      </c>
      <c r="Q396" t="s">
        <v>24</v>
      </c>
    </row>
    <row r="397" spans="1:17" ht="15">
      <c r="A397" t="s">
        <v>17</v>
      </c>
      <c r="B397" s="1">
        <v>43152</v>
      </c>
      <c r="C397" t="s">
        <v>111</v>
      </c>
      <c r="D397" t="str">
        <f>CONCATENATE("0070004457","")</f>
        <v>0070004457</v>
      </c>
      <c r="E397" t="str">
        <f>CONCATENATE("0030601000470       ","")</f>
        <v>0030601000470       </v>
      </c>
      <c r="F397" t="str">
        <f>CONCATENATE("606758251","")</f>
        <v>606758251</v>
      </c>
      <c r="G397" t="s">
        <v>767</v>
      </c>
      <c r="H397" t="s">
        <v>771</v>
      </c>
      <c r="I397" t="s">
        <v>787</v>
      </c>
      <c r="J397" t="str">
        <f t="shared" si="47"/>
        <v>080301</v>
      </c>
      <c r="K397" t="s">
        <v>22</v>
      </c>
      <c r="L397" t="s">
        <v>23</v>
      </c>
      <c r="M397" t="str">
        <f t="shared" si="48"/>
        <v>1</v>
      </c>
      <c r="O397" t="str">
        <f t="shared" si="49"/>
        <v>1 </v>
      </c>
      <c r="P397">
        <v>19.7</v>
      </c>
      <c r="Q397" t="s">
        <v>24</v>
      </c>
    </row>
    <row r="398" spans="1:17" ht="15">
      <c r="A398" t="s">
        <v>17</v>
      </c>
      <c r="B398" s="1">
        <v>43152</v>
      </c>
      <c r="C398" t="s">
        <v>111</v>
      </c>
      <c r="D398" t="str">
        <f>CONCATENATE("0070016617","")</f>
        <v>0070016617</v>
      </c>
      <c r="E398" t="str">
        <f>CONCATENATE("0030601000535       ","")</f>
        <v>0030601000535       </v>
      </c>
      <c r="F398" t="str">
        <f>CONCATENATE("606908120","")</f>
        <v>606908120</v>
      </c>
      <c r="G398" t="s">
        <v>773</v>
      </c>
      <c r="H398" t="s">
        <v>791</v>
      </c>
      <c r="I398" t="s">
        <v>792</v>
      </c>
      <c r="J398" t="str">
        <f t="shared" si="47"/>
        <v>080301</v>
      </c>
      <c r="K398" t="s">
        <v>22</v>
      </c>
      <c r="L398" t="s">
        <v>23</v>
      </c>
      <c r="M398" t="str">
        <f t="shared" si="48"/>
        <v>1</v>
      </c>
      <c r="O398" t="str">
        <f t="shared" si="49"/>
        <v>1 </v>
      </c>
      <c r="P398">
        <v>106.3</v>
      </c>
      <c r="Q398" t="s">
        <v>24</v>
      </c>
    </row>
    <row r="399" spans="1:17" ht="15">
      <c r="A399" t="s">
        <v>17</v>
      </c>
      <c r="B399" s="1">
        <v>43152</v>
      </c>
      <c r="C399" t="s">
        <v>111</v>
      </c>
      <c r="D399" t="str">
        <f>CONCATENATE("0070026141","")</f>
        <v>0070026141</v>
      </c>
      <c r="E399" t="str">
        <f>CONCATENATE("0030601000559       ","")</f>
        <v>0030601000559       </v>
      </c>
      <c r="F399" t="str">
        <f>CONCATENATE("607443647","")</f>
        <v>607443647</v>
      </c>
      <c r="G399" t="s">
        <v>773</v>
      </c>
      <c r="H399" t="s">
        <v>117</v>
      </c>
      <c r="I399" t="s">
        <v>793</v>
      </c>
      <c r="J399" t="str">
        <f t="shared" si="47"/>
        <v>080301</v>
      </c>
      <c r="K399" t="s">
        <v>22</v>
      </c>
      <c r="L399" t="s">
        <v>23</v>
      </c>
      <c r="M399" t="str">
        <f t="shared" si="48"/>
        <v>1</v>
      </c>
      <c r="O399" t="str">
        <f t="shared" si="49"/>
        <v>1 </v>
      </c>
      <c r="P399">
        <v>13.2</v>
      </c>
      <c r="Q399" t="s">
        <v>24</v>
      </c>
    </row>
    <row r="400" spans="1:17" ht="15">
      <c r="A400" t="s">
        <v>17</v>
      </c>
      <c r="B400" s="1">
        <v>43152</v>
      </c>
      <c r="C400" t="s">
        <v>111</v>
      </c>
      <c r="D400" t="str">
        <f>CONCATENATE("0070004479","")</f>
        <v>0070004479</v>
      </c>
      <c r="E400" t="str">
        <f>CONCATENATE("0030601000560       ","")</f>
        <v>0030601000560       </v>
      </c>
      <c r="F400" t="str">
        <f>CONCATENATE("606672411","")</f>
        <v>606672411</v>
      </c>
      <c r="G400" t="s">
        <v>781</v>
      </c>
      <c r="H400" t="s">
        <v>794</v>
      </c>
      <c r="I400" t="s">
        <v>795</v>
      </c>
      <c r="J400" t="str">
        <f t="shared" si="47"/>
        <v>080301</v>
      </c>
      <c r="K400" t="s">
        <v>22</v>
      </c>
      <c r="L400" t="s">
        <v>23</v>
      </c>
      <c r="M400" t="str">
        <f t="shared" si="48"/>
        <v>1</v>
      </c>
      <c r="O400" t="str">
        <f t="shared" si="49"/>
        <v>1 </v>
      </c>
      <c r="P400">
        <v>2705.8</v>
      </c>
      <c r="Q400" t="s">
        <v>24</v>
      </c>
    </row>
    <row r="401" spans="1:17" ht="15">
      <c r="A401" t="s">
        <v>17</v>
      </c>
      <c r="B401" s="1">
        <v>43152</v>
      </c>
      <c r="C401" t="s">
        <v>111</v>
      </c>
      <c r="D401" t="str">
        <f>CONCATENATE("0070004480","")</f>
        <v>0070004480</v>
      </c>
      <c r="E401" t="str">
        <f>CONCATENATE("0030601000562       ","")</f>
        <v>0030601000562       </v>
      </c>
      <c r="F401" t="str">
        <f>CONCATENATE("1258226","")</f>
        <v>1258226</v>
      </c>
      <c r="G401" t="s">
        <v>781</v>
      </c>
      <c r="H401" t="s">
        <v>796</v>
      </c>
      <c r="I401" t="s">
        <v>797</v>
      </c>
      <c r="J401" t="str">
        <f t="shared" si="47"/>
        <v>080301</v>
      </c>
      <c r="K401" t="s">
        <v>22</v>
      </c>
      <c r="L401" t="s">
        <v>23</v>
      </c>
      <c r="M401" t="str">
        <f>CONCATENATE("3","")</f>
        <v>3</v>
      </c>
      <c r="O401" t="str">
        <f t="shared" si="49"/>
        <v>1 </v>
      </c>
      <c r="P401">
        <v>371.55</v>
      </c>
      <c r="Q401" t="s">
        <v>24</v>
      </c>
    </row>
    <row r="402" spans="1:17" ht="15">
      <c r="A402" t="s">
        <v>17</v>
      </c>
      <c r="B402" s="1">
        <v>43152</v>
      </c>
      <c r="C402" t="s">
        <v>111</v>
      </c>
      <c r="D402" t="str">
        <f>CONCATENATE("0070004481","")</f>
        <v>0070004481</v>
      </c>
      <c r="E402" t="str">
        <f>CONCATENATE("0030601000567       ","")</f>
        <v>0030601000567       </v>
      </c>
      <c r="F402" t="str">
        <f>CONCATENATE("606894169","")</f>
        <v>606894169</v>
      </c>
      <c r="G402" t="s">
        <v>781</v>
      </c>
      <c r="H402" t="s">
        <v>798</v>
      </c>
      <c r="I402" t="s">
        <v>799</v>
      </c>
      <c r="J402" t="str">
        <f t="shared" si="47"/>
        <v>080301</v>
      </c>
      <c r="K402" t="s">
        <v>22</v>
      </c>
      <c r="L402" t="s">
        <v>23</v>
      </c>
      <c r="M402" t="str">
        <f>CONCATENATE("1","")</f>
        <v>1</v>
      </c>
      <c r="O402" t="str">
        <f t="shared" si="49"/>
        <v>1 </v>
      </c>
      <c r="P402">
        <v>75.55</v>
      </c>
      <c r="Q402" t="s">
        <v>24</v>
      </c>
    </row>
    <row r="403" spans="1:17" ht="15">
      <c r="A403" t="s">
        <v>17</v>
      </c>
      <c r="B403" s="1">
        <v>43152</v>
      </c>
      <c r="C403" t="s">
        <v>111</v>
      </c>
      <c r="D403" t="str">
        <f>CONCATENATE("0070004491","")</f>
        <v>0070004491</v>
      </c>
      <c r="E403" t="str">
        <f>CONCATENATE("0030601000624       ","")</f>
        <v>0030601000624       </v>
      </c>
      <c r="F403" t="str">
        <f>CONCATENATE("507002929","")</f>
        <v>507002929</v>
      </c>
      <c r="G403" t="s">
        <v>781</v>
      </c>
      <c r="H403" t="s">
        <v>800</v>
      </c>
      <c r="I403" t="s">
        <v>801</v>
      </c>
      <c r="J403" t="str">
        <f t="shared" si="47"/>
        <v>080301</v>
      </c>
      <c r="K403" t="s">
        <v>22</v>
      </c>
      <c r="L403" t="s">
        <v>23</v>
      </c>
      <c r="M403" t="str">
        <f>CONCATENATE("3","")</f>
        <v>3</v>
      </c>
      <c r="O403" t="str">
        <f t="shared" si="49"/>
        <v>1 </v>
      </c>
      <c r="P403">
        <v>238.6</v>
      </c>
      <c r="Q403" t="s">
        <v>51</v>
      </c>
    </row>
    <row r="404" spans="1:17" ht="15">
      <c r="A404" t="s">
        <v>17</v>
      </c>
      <c r="B404" s="1">
        <v>43152</v>
      </c>
      <c r="C404" t="s">
        <v>111</v>
      </c>
      <c r="D404" t="str">
        <f>CONCATENATE("0070004494","")</f>
        <v>0070004494</v>
      </c>
      <c r="E404" t="str">
        <f>CONCATENATE("0030601000630       ","")</f>
        <v>0030601000630       </v>
      </c>
      <c r="F404" t="str">
        <f>CONCATENATE("1944751","")</f>
        <v>1944751</v>
      </c>
      <c r="G404" t="s">
        <v>781</v>
      </c>
      <c r="H404" t="s">
        <v>802</v>
      </c>
      <c r="I404" t="s">
        <v>803</v>
      </c>
      <c r="J404" t="str">
        <f t="shared" si="47"/>
        <v>080301</v>
      </c>
      <c r="K404" t="s">
        <v>22</v>
      </c>
      <c r="L404" t="s">
        <v>23</v>
      </c>
      <c r="M404" t="str">
        <f>CONCATENATE("1","")</f>
        <v>1</v>
      </c>
      <c r="O404" t="str">
        <f t="shared" si="49"/>
        <v>1 </v>
      </c>
      <c r="P404">
        <v>33.95</v>
      </c>
      <c r="Q404" t="s">
        <v>24</v>
      </c>
    </row>
    <row r="405" spans="1:17" ht="15">
      <c r="A405" t="s">
        <v>17</v>
      </c>
      <c r="B405" s="1">
        <v>43152</v>
      </c>
      <c r="C405" t="s">
        <v>111</v>
      </c>
      <c r="D405" t="str">
        <f>CONCATENATE("0070004506","")</f>
        <v>0070004506</v>
      </c>
      <c r="E405" t="str">
        <f>CONCATENATE("0030601000664       ","")</f>
        <v>0030601000664       </v>
      </c>
      <c r="F405" t="str">
        <f>CONCATENATE("90912157","")</f>
        <v>90912157</v>
      </c>
      <c r="G405" t="s">
        <v>781</v>
      </c>
      <c r="H405" t="s">
        <v>804</v>
      </c>
      <c r="I405" t="s">
        <v>805</v>
      </c>
      <c r="J405" t="str">
        <f t="shared" si="47"/>
        <v>080301</v>
      </c>
      <c r="K405" t="s">
        <v>22</v>
      </c>
      <c r="L405" t="s">
        <v>23</v>
      </c>
      <c r="M405" t="str">
        <f>CONCATENATE("3","")</f>
        <v>3</v>
      </c>
      <c r="O405" t="str">
        <f t="shared" si="49"/>
        <v>1 </v>
      </c>
      <c r="P405">
        <v>1147.9</v>
      </c>
      <c r="Q405" t="s">
        <v>51</v>
      </c>
    </row>
    <row r="406" spans="1:17" ht="15">
      <c r="A406" t="s">
        <v>17</v>
      </c>
      <c r="B406" s="1">
        <v>43152</v>
      </c>
      <c r="C406" t="s">
        <v>111</v>
      </c>
      <c r="D406" t="str">
        <f>CONCATENATE("0070022784","")</f>
        <v>0070022784</v>
      </c>
      <c r="E406" t="str">
        <f>CONCATENATE("0030601000889       ","")</f>
        <v>0030601000889       </v>
      </c>
      <c r="F406" t="str">
        <f>CONCATENATE("2190618","")</f>
        <v>2190618</v>
      </c>
      <c r="G406" t="s">
        <v>781</v>
      </c>
      <c r="H406" t="s">
        <v>806</v>
      </c>
      <c r="I406" t="s">
        <v>807</v>
      </c>
      <c r="J406" t="str">
        <f t="shared" si="47"/>
        <v>080301</v>
      </c>
      <c r="K406" t="s">
        <v>22</v>
      </c>
      <c r="L406" t="s">
        <v>23</v>
      </c>
      <c r="M406" t="str">
        <f aca="true" t="shared" si="50" ref="M406:M411">CONCATENATE("1","")</f>
        <v>1</v>
      </c>
      <c r="O406" t="str">
        <f t="shared" si="49"/>
        <v>1 </v>
      </c>
      <c r="P406">
        <v>365.2</v>
      </c>
      <c r="Q406" t="s">
        <v>24</v>
      </c>
    </row>
    <row r="407" spans="1:17" ht="15">
      <c r="A407" t="s">
        <v>17</v>
      </c>
      <c r="B407" s="1">
        <v>43152</v>
      </c>
      <c r="C407" t="s">
        <v>111</v>
      </c>
      <c r="D407" t="str">
        <f>CONCATENATE("0070028908","")</f>
        <v>0070028908</v>
      </c>
      <c r="E407" t="str">
        <f>CONCATENATE("0030601000911       ","")</f>
        <v>0030601000911       </v>
      </c>
      <c r="F407" t="str">
        <f>CONCATENATE("607654298","")</f>
        <v>607654298</v>
      </c>
      <c r="G407" t="s">
        <v>781</v>
      </c>
      <c r="H407" t="s">
        <v>808</v>
      </c>
      <c r="I407" t="s">
        <v>809</v>
      </c>
      <c r="J407" t="str">
        <f t="shared" si="47"/>
        <v>080301</v>
      </c>
      <c r="K407" t="s">
        <v>22</v>
      </c>
      <c r="L407" t="s">
        <v>23</v>
      </c>
      <c r="M407" t="str">
        <f t="shared" si="50"/>
        <v>1</v>
      </c>
      <c r="N407" t="str">
        <f>CONCATENATE("976593410","")</f>
        <v>976593410</v>
      </c>
      <c r="O407" t="str">
        <f t="shared" si="49"/>
        <v>1 </v>
      </c>
      <c r="P407">
        <v>152.1</v>
      </c>
      <c r="Q407" t="s">
        <v>24</v>
      </c>
    </row>
    <row r="408" spans="1:17" ht="15">
      <c r="A408" t="s">
        <v>17</v>
      </c>
      <c r="B408" s="1">
        <v>43152</v>
      </c>
      <c r="C408" t="s">
        <v>111</v>
      </c>
      <c r="D408" t="str">
        <f>CONCATENATE("0070004607","")</f>
        <v>0070004607</v>
      </c>
      <c r="E408" t="str">
        <f>CONCATENATE("0030601001005       ","")</f>
        <v>0030601001005       </v>
      </c>
      <c r="F408" t="str">
        <f>CONCATENATE("606855061","")</f>
        <v>606855061</v>
      </c>
      <c r="G408" t="s">
        <v>781</v>
      </c>
      <c r="H408" t="s">
        <v>810</v>
      </c>
      <c r="I408" t="s">
        <v>811</v>
      </c>
      <c r="J408" t="str">
        <f t="shared" si="47"/>
        <v>080301</v>
      </c>
      <c r="K408" t="s">
        <v>22</v>
      </c>
      <c r="L408" t="s">
        <v>23</v>
      </c>
      <c r="M408" t="str">
        <f t="shared" si="50"/>
        <v>1</v>
      </c>
      <c r="O408" t="str">
        <f t="shared" si="49"/>
        <v>1 </v>
      </c>
      <c r="P408">
        <v>4.85</v>
      </c>
      <c r="Q408" t="s">
        <v>24</v>
      </c>
    </row>
    <row r="409" spans="1:17" ht="15">
      <c r="A409" t="s">
        <v>17</v>
      </c>
      <c r="B409" s="1">
        <v>43152</v>
      </c>
      <c r="C409" t="s">
        <v>111</v>
      </c>
      <c r="D409" t="str">
        <f>CONCATENATE("0070020516","")</f>
        <v>0070020516</v>
      </c>
      <c r="E409" t="str">
        <f>CONCATENATE("0030601001068       ","")</f>
        <v>0030601001068       </v>
      </c>
      <c r="F409" t="str">
        <f>CONCATENATE("2014023031","")</f>
        <v>2014023031</v>
      </c>
      <c r="G409" t="s">
        <v>781</v>
      </c>
      <c r="H409" t="s">
        <v>812</v>
      </c>
      <c r="I409" t="s">
        <v>813</v>
      </c>
      <c r="J409" t="str">
        <f t="shared" si="47"/>
        <v>080301</v>
      </c>
      <c r="K409" t="s">
        <v>22</v>
      </c>
      <c r="L409" t="s">
        <v>23</v>
      </c>
      <c r="M409" t="str">
        <f t="shared" si="50"/>
        <v>1</v>
      </c>
      <c r="O409" t="str">
        <f t="shared" si="49"/>
        <v>1 </v>
      </c>
      <c r="P409">
        <v>208.85</v>
      </c>
      <c r="Q409" t="s">
        <v>24</v>
      </c>
    </row>
    <row r="410" spans="1:17" ht="15">
      <c r="A410" t="s">
        <v>17</v>
      </c>
      <c r="B410" s="1">
        <v>43152</v>
      </c>
      <c r="C410" t="s">
        <v>111</v>
      </c>
      <c r="D410" t="str">
        <f>CONCATENATE("0070015330","")</f>
        <v>0070015330</v>
      </c>
      <c r="E410" t="str">
        <f>CONCATENATE("0030601001090       ","")</f>
        <v>0030601001090       </v>
      </c>
      <c r="F410" t="str">
        <f>CONCATENATE("605154019","")</f>
        <v>605154019</v>
      </c>
      <c r="G410" t="s">
        <v>781</v>
      </c>
      <c r="H410" t="s">
        <v>814</v>
      </c>
      <c r="I410" t="s">
        <v>815</v>
      </c>
      <c r="J410" t="str">
        <f t="shared" si="47"/>
        <v>080301</v>
      </c>
      <c r="K410" t="s">
        <v>22</v>
      </c>
      <c r="L410" t="s">
        <v>23</v>
      </c>
      <c r="M410" t="str">
        <f t="shared" si="50"/>
        <v>1</v>
      </c>
      <c r="O410" t="str">
        <f t="shared" si="49"/>
        <v>1 </v>
      </c>
      <c r="P410">
        <v>13.7</v>
      </c>
      <c r="Q410" t="s">
        <v>24</v>
      </c>
    </row>
    <row r="411" spans="1:17" ht="15">
      <c r="A411" t="s">
        <v>17</v>
      </c>
      <c r="B411" s="1">
        <v>43152</v>
      </c>
      <c r="C411" t="s">
        <v>111</v>
      </c>
      <c r="D411" t="str">
        <f>CONCATENATE("0070024702","")</f>
        <v>0070024702</v>
      </c>
      <c r="E411" t="str">
        <f>CONCATENATE("0030601001313       ","")</f>
        <v>0030601001313       </v>
      </c>
      <c r="F411" t="str">
        <f>CONCATENATE("606852159","")</f>
        <v>606852159</v>
      </c>
      <c r="G411" t="s">
        <v>773</v>
      </c>
      <c r="H411" t="s">
        <v>816</v>
      </c>
      <c r="I411" t="s">
        <v>817</v>
      </c>
      <c r="J411" t="str">
        <f t="shared" si="47"/>
        <v>080301</v>
      </c>
      <c r="K411" t="s">
        <v>22</v>
      </c>
      <c r="L411" t="s">
        <v>23</v>
      </c>
      <c r="M411" t="str">
        <f t="shared" si="50"/>
        <v>1</v>
      </c>
      <c r="O411" t="str">
        <f t="shared" si="49"/>
        <v>1 </v>
      </c>
      <c r="P411">
        <v>122.65</v>
      </c>
      <c r="Q411" t="s">
        <v>24</v>
      </c>
    </row>
    <row r="412" spans="1:17" ht="15">
      <c r="A412" t="s">
        <v>17</v>
      </c>
      <c r="B412" s="1">
        <v>43152</v>
      </c>
      <c r="C412" t="s">
        <v>111</v>
      </c>
      <c r="D412" t="str">
        <f>CONCATENATE("0070023279","")</f>
        <v>0070023279</v>
      </c>
      <c r="E412" t="str">
        <f>CONCATENATE("0030601001369       ","")</f>
        <v>0030601001369       </v>
      </c>
      <c r="F412" t="str">
        <f>CONCATENATE("13013443","")</f>
        <v>13013443</v>
      </c>
      <c r="G412" t="s">
        <v>773</v>
      </c>
      <c r="H412" t="s">
        <v>818</v>
      </c>
      <c r="I412" t="s">
        <v>819</v>
      </c>
      <c r="J412" t="str">
        <f t="shared" si="47"/>
        <v>080301</v>
      </c>
      <c r="K412" t="s">
        <v>22</v>
      </c>
      <c r="L412" t="s">
        <v>23</v>
      </c>
      <c r="M412" t="str">
        <f>CONCATENATE("3","")</f>
        <v>3</v>
      </c>
      <c r="O412" t="str">
        <f t="shared" si="49"/>
        <v>1 </v>
      </c>
      <c r="P412">
        <v>98.05</v>
      </c>
      <c r="Q412" t="s">
        <v>51</v>
      </c>
    </row>
    <row r="413" spans="1:17" ht="15">
      <c r="A413" t="s">
        <v>17</v>
      </c>
      <c r="B413" s="1">
        <v>43152</v>
      </c>
      <c r="C413" t="s">
        <v>111</v>
      </c>
      <c r="D413" t="str">
        <f>CONCATENATE("0070017188","")</f>
        <v>0070017188</v>
      </c>
      <c r="E413" t="str">
        <f>CONCATENATE("0030601001409       ","")</f>
        <v>0030601001409       </v>
      </c>
      <c r="F413" t="str">
        <f>CONCATENATE("605277898","")</f>
        <v>605277898</v>
      </c>
      <c r="G413" t="s">
        <v>773</v>
      </c>
      <c r="H413" t="s">
        <v>820</v>
      </c>
      <c r="I413" t="s">
        <v>821</v>
      </c>
      <c r="J413" t="str">
        <f t="shared" si="47"/>
        <v>080301</v>
      </c>
      <c r="K413" t="s">
        <v>22</v>
      </c>
      <c r="L413" t="s">
        <v>23</v>
      </c>
      <c r="M413" t="str">
        <f aca="true" t="shared" si="51" ref="M413:M420">CONCATENATE("1","")</f>
        <v>1</v>
      </c>
      <c r="O413" t="str">
        <f t="shared" si="49"/>
        <v>1 </v>
      </c>
      <c r="P413">
        <v>19.8</v>
      </c>
      <c r="Q413" t="s">
        <v>24</v>
      </c>
    </row>
    <row r="414" spans="1:17" ht="15">
      <c r="A414" t="s">
        <v>17</v>
      </c>
      <c r="B414" s="1">
        <v>43152</v>
      </c>
      <c r="C414" t="s">
        <v>111</v>
      </c>
      <c r="D414" t="str">
        <f>CONCATENATE("0070004720","")</f>
        <v>0070004720</v>
      </c>
      <c r="E414" t="str">
        <f>CONCATENATE("0030601001451       ","")</f>
        <v>0030601001451       </v>
      </c>
      <c r="F414" t="str">
        <f>CONCATENATE("606676100","")</f>
        <v>606676100</v>
      </c>
      <c r="G414" t="s">
        <v>773</v>
      </c>
      <c r="H414" t="s">
        <v>822</v>
      </c>
      <c r="I414" t="s">
        <v>823</v>
      </c>
      <c r="J414" t="str">
        <f t="shared" si="47"/>
        <v>080301</v>
      </c>
      <c r="K414" t="s">
        <v>22</v>
      </c>
      <c r="L414" t="s">
        <v>23</v>
      </c>
      <c r="M414" t="str">
        <f t="shared" si="51"/>
        <v>1</v>
      </c>
      <c r="O414" t="str">
        <f t="shared" si="49"/>
        <v>1 </v>
      </c>
      <c r="P414">
        <v>57.5</v>
      </c>
      <c r="Q414" t="s">
        <v>24</v>
      </c>
    </row>
    <row r="415" spans="1:17" ht="15">
      <c r="A415" t="s">
        <v>17</v>
      </c>
      <c r="B415" s="1">
        <v>43152</v>
      </c>
      <c r="C415" t="s">
        <v>111</v>
      </c>
      <c r="D415" t="str">
        <f>CONCATENATE("0070024932","")</f>
        <v>0070024932</v>
      </c>
      <c r="E415" t="str">
        <f>CONCATENATE("0030601001452       ","")</f>
        <v>0030601001452       </v>
      </c>
      <c r="F415" t="str">
        <f>CONCATENATE("606854809","")</f>
        <v>606854809</v>
      </c>
      <c r="G415" t="s">
        <v>773</v>
      </c>
      <c r="H415" t="s">
        <v>824</v>
      </c>
      <c r="I415" t="s">
        <v>825</v>
      </c>
      <c r="J415" t="str">
        <f t="shared" si="47"/>
        <v>080301</v>
      </c>
      <c r="K415" t="s">
        <v>22</v>
      </c>
      <c r="L415" t="s">
        <v>23</v>
      </c>
      <c r="M415" t="str">
        <f t="shared" si="51"/>
        <v>1</v>
      </c>
      <c r="O415" t="str">
        <f t="shared" si="49"/>
        <v>1 </v>
      </c>
      <c r="P415">
        <v>20.3</v>
      </c>
      <c r="Q415" t="s">
        <v>24</v>
      </c>
    </row>
    <row r="416" spans="1:17" ht="15">
      <c r="A416" t="s">
        <v>17</v>
      </c>
      <c r="B416" s="1">
        <v>43152</v>
      </c>
      <c r="C416" t="s">
        <v>111</v>
      </c>
      <c r="D416" t="str">
        <f>CONCATENATE("0070028401","")</f>
        <v>0070028401</v>
      </c>
      <c r="E416" t="str">
        <f>CONCATENATE("0030601001527       ","")</f>
        <v>0030601001527       </v>
      </c>
      <c r="F416" t="str">
        <f>CONCATENATE("607546571","")</f>
        <v>607546571</v>
      </c>
      <c r="G416" t="s">
        <v>773</v>
      </c>
      <c r="H416" t="s">
        <v>826</v>
      </c>
      <c r="I416" t="s">
        <v>827</v>
      </c>
      <c r="J416" t="str">
        <f t="shared" si="47"/>
        <v>080301</v>
      </c>
      <c r="K416" t="s">
        <v>22</v>
      </c>
      <c r="L416" t="s">
        <v>23</v>
      </c>
      <c r="M416" t="str">
        <f t="shared" si="51"/>
        <v>1</v>
      </c>
      <c r="N416" t="str">
        <f>CONCATENATE("947472787","")</f>
        <v>947472787</v>
      </c>
      <c r="O416" t="str">
        <f t="shared" si="49"/>
        <v>1 </v>
      </c>
      <c r="P416">
        <v>106.7</v>
      </c>
      <c r="Q416" t="s">
        <v>24</v>
      </c>
    </row>
    <row r="417" spans="1:17" ht="15">
      <c r="A417" t="s">
        <v>17</v>
      </c>
      <c r="B417" s="1">
        <v>43152</v>
      </c>
      <c r="C417" t="s">
        <v>111</v>
      </c>
      <c r="D417" t="str">
        <f>CONCATENATE("0070026812","")</f>
        <v>0070026812</v>
      </c>
      <c r="E417" t="str">
        <f>CONCATENATE("0030601001557       ","")</f>
        <v>0030601001557       </v>
      </c>
      <c r="F417" t="str">
        <f>CONCATENATE("607444962","")</f>
        <v>607444962</v>
      </c>
      <c r="G417" t="s">
        <v>773</v>
      </c>
      <c r="H417" t="s">
        <v>828</v>
      </c>
      <c r="I417" t="s">
        <v>829</v>
      </c>
      <c r="J417" t="str">
        <f aca="true" t="shared" si="52" ref="J417:J448">CONCATENATE("080301","")</f>
        <v>080301</v>
      </c>
      <c r="K417" t="s">
        <v>22</v>
      </c>
      <c r="L417" t="s">
        <v>23</v>
      </c>
      <c r="M417" t="str">
        <f t="shared" si="51"/>
        <v>1</v>
      </c>
      <c r="O417" t="str">
        <f t="shared" si="49"/>
        <v>1 </v>
      </c>
      <c r="P417">
        <v>332.45</v>
      </c>
      <c r="Q417" t="s">
        <v>24</v>
      </c>
    </row>
    <row r="418" spans="1:17" ht="15">
      <c r="A418" t="s">
        <v>17</v>
      </c>
      <c r="B418" s="1">
        <v>43152</v>
      </c>
      <c r="C418" t="s">
        <v>111</v>
      </c>
      <c r="D418" t="str">
        <f>CONCATENATE("0070018592","")</f>
        <v>0070018592</v>
      </c>
      <c r="E418" t="str">
        <f>CONCATENATE("0030601001563       ","")</f>
        <v>0030601001563       </v>
      </c>
      <c r="F418" t="str">
        <f>CONCATENATE("605741187","")</f>
        <v>605741187</v>
      </c>
      <c r="G418" t="s">
        <v>773</v>
      </c>
      <c r="H418" t="s">
        <v>830</v>
      </c>
      <c r="I418" t="s">
        <v>831</v>
      </c>
      <c r="J418" t="str">
        <f t="shared" si="52"/>
        <v>080301</v>
      </c>
      <c r="K418" t="s">
        <v>22</v>
      </c>
      <c r="L418" t="s">
        <v>23</v>
      </c>
      <c r="M418" t="str">
        <f t="shared" si="51"/>
        <v>1</v>
      </c>
      <c r="O418" t="str">
        <f t="shared" si="49"/>
        <v>1 </v>
      </c>
      <c r="P418">
        <v>125.95</v>
      </c>
      <c r="Q418" t="s">
        <v>24</v>
      </c>
    </row>
    <row r="419" spans="1:17" ht="15">
      <c r="A419" t="s">
        <v>17</v>
      </c>
      <c r="B419" s="1">
        <v>43152</v>
      </c>
      <c r="C419" t="s">
        <v>111</v>
      </c>
      <c r="D419" t="str">
        <f>CONCATENATE("0070024578","")</f>
        <v>0070024578</v>
      </c>
      <c r="E419" t="str">
        <f>CONCATENATE("0030601001642       ","")</f>
        <v>0030601001642       </v>
      </c>
      <c r="F419" t="str">
        <f>CONCATENATE("606746420","")</f>
        <v>606746420</v>
      </c>
      <c r="G419" t="s">
        <v>773</v>
      </c>
      <c r="H419" t="s">
        <v>832</v>
      </c>
      <c r="I419" t="s">
        <v>833</v>
      </c>
      <c r="J419" t="str">
        <f t="shared" si="52"/>
        <v>080301</v>
      </c>
      <c r="K419" t="s">
        <v>22</v>
      </c>
      <c r="L419" t="s">
        <v>23</v>
      </c>
      <c r="M419" t="str">
        <f t="shared" si="51"/>
        <v>1</v>
      </c>
      <c r="O419" t="str">
        <f t="shared" si="49"/>
        <v>1 </v>
      </c>
      <c r="P419">
        <v>66.7</v>
      </c>
      <c r="Q419" t="s">
        <v>24</v>
      </c>
    </row>
    <row r="420" spans="1:17" ht="15">
      <c r="A420" t="s">
        <v>17</v>
      </c>
      <c r="B420" s="1">
        <v>43152</v>
      </c>
      <c r="C420" t="s">
        <v>111</v>
      </c>
      <c r="D420" t="str">
        <f>CONCATENATE("0070004789","")</f>
        <v>0070004789</v>
      </c>
      <c r="E420" t="str">
        <f>CONCATENATE("0030601001644       ","")</f>
        <v>0030601001644       </v>
      </c>
      <c r="F420" t="str">
        <f>CONCATENATE("1670657","")</f>
        <v>1670657</v>
      </c>
      <c r="G420" t="s">
        <v>773</v>
      </c>
      <c r="H420" t="s">
        <v>834</v>
      </c>
      <c r="I420" t="s">
        <v>835</v>
      </c>
      <c r="J420" t="str">
        <f t="shared" si="52"/>
        <v>080301</v>
      </c>
      <c r="K420" t="s">
        <v>22</v>
      </c>
      <c r="L420" t="s">
        <v>23</v>
      </c>
      <c r="M420" t="str">
        <f t="shared" si="51"/>
        <v>1</v>
      </c>
      <c r="O420" t="str">
        <f t="shared" si="49"/>
        <v>1 </v>
      </c>
      <c r="P420">
        <v>42</v>
      </c>
      <c r="Q420" t="s">
        <v>24</v>
      </c>
    </row>
    <row r="421" spans="1:17" ht="15">
      <c r="A421" t="s">
        <v>17</v>
      </c>
      <c r="B421" s="1">
        <v>43152</v>
      </c>
      <c r="C421" t="s">
        <v>111</v>
      </c>
      <c r="D421" t="str">
        <f>CONCATENATE("0070024381","")</f>
        <v>0070024381</v>
      </c>
      <c r="E421" t="str">
        <f>CONCATENATE("0030601001685       ","")</f>
        <v>0030601001685       </v>
      </c>
      <c r="F421" t="str">
        <f>CONCATENATE("607634656","")</f>
        <v>607634656</v>
      </c>
      <c r="G421" t="s">
        <v>773</v>
      </c>
      <c r="H421" t="s">
        <v>836</v>
      </c>
      <c r="I421" t="s">
        <v>837</v>
      </c>
      <c r="J421" t="str">
        <f t="shared" si="52"/>
        <v>080301</v>
      </c>
      <c r="K421" t="s">
        <v>22</v>
      </c>
      <c r="L421" t="s">
        <v>23</v>
      </c>
      <c r="M421" t="str">
        <f>CONCATENATE("3","")</f>
        <v>3</v>
      </c>
      <c r="O421" t="str">
        <f t="shared" si="49"/>
        <v>1 </v>
      </c>
      <c r="P421">
        <v>331.7</v>
      </c>
      <c r="Q421" t="s">
        <v>51</v>
      </c>
    </row>
    <row r="422" spans="1:17" ht="15">
      <c r="A422" t="s">
        <v>17</v>
      </c>
      <c r="B422" s="1">
        <v>43152</v>
      </c>
      <c r="C422" t="s">
        <v>111</v>
      </c>
      <c r="D422" t="str">
        <f>CONCATENATE("0070004827","")</f>
        <v>0070004827</v>
      </c>
      <c r="E422" t="str">
        <f>CONCATENATE("0030601001715       ","")</f>
        <v>0030601001715       </v>
      </c>
      <c r="F422" t="str">
        <f>CONCATENATE("606852169","")</f>
        <v>606852169</v>
      </c>
      <c r="G422" t="s">
        <v>781</v>
      </c>
      <c r="H422" t="s">
        <v>838</v>
      </c>
      <c r="I422" t="s">
        <v>839</v>
      </c>
      <c r="J422" t="str">
        <f t="shared" si="52"/>
        <v>080301</v>
      </c>
      <c r="K422" t="s">
        <v>22</v>
      </c>
      <c r="L422" t="s">
        <v>23</v>
      </c>
      <c r="M422" t="str">
        <f>CONCATENATE("1","")</f>
        <v>1</v>
      </c>
      <c r="O422" t="str">
        <f t="shared" si="49"/>
        <v>1 </v>
      </c>
      <c r="P422">
        <v>399.4</v>
      </c>
      <c r="Q422" t="s">
        <v>24</v>
      </c>
    </row>
    <row r="423" spans="1:17" ht="15">
      <c r="A423" t="s">
        <v>17</v>
      </c>
      <c r="B423" s="1">
        <v>43152</v>
      </c>
      <c r="C423" t="s">
        <v>111</v>
      </c>
      <c r="D423" t="str">
        <f>CONCATENATE("0070017569","")</f>
        <v>0070017569</v>
      </c>
      <c r="E423" t="str">
        <f>CONCATENATE("0030601001716       ","")</f>
        <v>0030601001716       </v>
      </c>
      <c r="F423" t="str">
        <f>CONCATENATE("605622328","")</f>
        <v>605622328</v>
      </c>
      <c r="G423" t="s">
        <v>781</v>
      </c>
      <c r="H423" t="s">
        <v>840</v>
      </c>
      <c r="I423" t="s">
        <v>841</v>
      </c>
      <c r="J423" t="str">
        <f t="shared" si="52"/>
        <v>080301</v>
      </c>
      <c r="K423" t="s">
        <v>22</v>
      </c>
      <c r="L423" t="s">
        <v>23</v>
      </c>
      <c r="M423" t="str">
        <f>CONCATENATE("1","")</f>
        <v>1</v>
      </c>
      <c r="O423" t="str">
        <f t="shared" si="49"/>
        <v>1 </v>
      </c>
      <c r="P423">
        <v>144.45</v>
      </c>
      <c r="Q423" t="s">
        <v>24</v>
      </c>
    </row>
    <row r="424" spans="1:17" ht="15">
      <c r="A424" t="s">
        <v>17</v>
      </c>
      <c r="B424" s="1">
        <v>43152</v>
      </c>
      <c r="C424" t="s">
        <v>111</v>
      </c>
      <c r="D424" t="str">
        <f>CONCATENATE("0070004842","")</f>
        <v>0070004842</v>
      </c>
      <c r="E424" t="str">
        <f>CONCATENATE("0030601001762       ","")</f>
        <v>0030601001762       </v>
      </c>
      <c r="F424" t="str">
        <f>CONCATENATE("605231544","")</f>
        <v>605231544</v>
      </c>
      <c r="G424" t="s">
        <v>781</v>
      </c>
      <c r="H424" t="s">
        <v>842</v>
      </c>
      <c r="I424" t="s">
        <v>843</v>
      </c>
      <c r="J424" t="str">
        <f t="shared" si="52"/>
        <v>080301</v>
      </c>
      <c r="K424" t="s">
        <v>22</v>
      </c>
      <c r="L424" t="s">
        <v>23</v>
      </c>
      <c r="M424" t="str">
        <f>CONCATENATE("1","")</f>
        <v>1</v>
      </c>
      <c r="O424" t="str">
        <f t="shared" si="49"/>
        <v>1 </v>
      </c>
      <c r="P424">
        <v>13.35</v>
      </c>
      <c r="Q424" t="s">
        <v>24</v>
      </c>
    </row>
    <row r="425" spans="1:17" ht="15">
      <c r="A425" t="s">
        <v>17</v>
      </c>
      <c r="B425" s="1">
        <v>43152</v>
      </c>
      <c r="C425" t="s">
        <v>111</v>
      </c>
      <c r="D425" t="str">
        <f>CONCATENATE("0070004856","")</f>
        <v>0070004856</v>
      </c>
      <c r="E425" t="str">
        <f>CONCATENATE("0030601001787       ","")</f>
        <v>0030601001787       </v>
      </c>
      <c r="F425" t="str">
        <f>CONCATENATE("607415654","")</f>
        <v>607415654</v>
      </c>
      <c r="G425" t="s">
        <v>781</v>
      </c>
      <c r="H425" t="s">
        <v>844</v>
      </c>
      <c r="I425" t="s">
        <v>845</v>
      </c>
      <c r="J425" t="str">
        <f t="shared" si="52"/>
        <v>080301</v>
      </c>
      <c r="K425" t="s">
        <v>22</v>
      </c>
      <c r="L425" t="s">
        <v>23</v>
      </c>
      <c r="M425" t="str">
        <f>CONCATENATE("3","")</f>
        <v>3</v>
      </c>
      <c r="O425" t="str">
        <f t="shared" si="49"/>
        <v>1 </v>
      </c>
      <c r="P425">
        <v>451.2</v>
      </c>
      <c r="Q425" t="s">
        <v>51</v>
      </c>
    </row>
    <row r="426" spans="1:17" ht="15">
      <c r="A426" t="s">
        <v>17</v>
      </c>
      <c r="B426" s="1">
        <v>43152</v>
      </c>
      <c r="C426" t="s">
        <v>111</v>
      </c>
      <c r="D426" t="str">
        <f>CONCATENATE("0070020514","")</f>
        <v>0070020514</v>
      </c>
      <c r="E426" t="str">
        <f>CONCATENATE("0030601001801       ","")</f>
        <v>0030601001801       </v>
      </c>
      <c r="F426" t="str">
        <f>CONCATENATE("605941078","")</f>
        <v>605941078</v>
      </c>
      <c r="G426" t="s">
        <v>781</v>
      </c>
      <c r="H426" t="s">
        <v>846</v>
      </c>
      <c r="I426" t="s">
        <v>847</v>
      </c>
      <c r="J426" t="str">
        <f t="shared" si="52"/>
        <v>080301</v>
      </c>
      <c r="K426" t="s">
        <v>22</v>
      </c>
      <c r="L426" t="s">
        <v>23</v>
      </c>
      <c r="M426" t="str">
        <f aca="true" t="shared" si="53" ref="M426:M436">CONCATENATE("1","")</f>
        <v>1</v>
      </c>
      <c r="O426" t="str">
        <f>CONCATENATE("2 ","")</f>
        <v>2 </v>
      </c>
      <c r="P426">
        <v>91.4</v>
      </c>
      <c r="Q426" t="s">
        <v>24</v>
      </c>
    </row>
    <row r="427" spans="1:17" ht="15">
      <c r="A427" t="s">
        <v>17</v>
      </c>
      <c r="B427" s="1">
        <v>43152</v>
      </c>
      <c r="C427" t="s">
        <v>111</v>
      </c>
      <c r="D427" t="str">
        <f>CONCATENATE("0070004865","")</f>
        <v>0070004865</v>
      </c>
      <c r="E427" t="str">
        <f>CONCATENATE("0030601001802       ","")</f>
        <v>0030601001802       </v>
      </c>
      <c r="F427" t="str">
        <f>CONCATENATE("606674800","")</f>
        <v>606674800</v>
      </c>
      <c r="G427" t="s">
        <v>781</v>
      </c>
      <c r="H427" t="s">
        <v>848</v>
      </c>
      <c r="I427" t="s">
        <v>849</v>
      </c>
      <c r="J427" t="str">
        <f t="shared" si="52"/>
        <v>080301</v>
      </c>
      <c r="K427" t="s">
        <v>22</v>
      </c>
      <c r="L427" t="s">
        <v>23</v>
      </c>
      <c r="M427" t="str">
        <f t="shared" si="53"/>
        <v>1</v>
      </c>
      <c r="O427" t="str">
        <f aca="true" t="shared" si="54" ref="O427:O458">CONCATENATE("1 ","")</f>
        <v>1 </v>
      </c>
      <c r="P427">
        <v>57.25</v>
      </c>
      <c r="Q427" t="s">
        <v>24</v>
      </c>
    </row>
    <row r="428" spans="1:17" ht="15">
      <c r="A428" t="s">
        <v>17</v>
      </c>
      <c r="B428" s="1">
        <v>43152</v>
      </c>
      <c r="C428" t="s">
        <v>111</v>
      </c>
      <c r="D428" t="str">
        <f>CONCATENATE("0070027088","")</f>
        <v>0070027088</v>
      </c>
      <c r="E428" t="str">
        <f>CONCATENATE("0030601001834       ","")</f>
        <v>0030601001834       </v>
      </c>
      <c r="F428" t="str">
        <f>CONCATENATE("606901551","")</f>
        <v>606901551</v>
      </c>
      <c r="G428" t="s">
        <v>781</v>
      </c>
      <c r="H428" t="s">
        <v>850</v>
      </c>
      <c r="I428" t="s">
        <v>851</v>
      </c>
      <c r="J428" t="str">
        <f t="shared" si="52"/>
        <v>080301</v>
      </c>
      <c r="K428" t="s">
        <v>22</v>
      </c>
      <c r="L428" t="s">
        <v>23</v>
      </c>
      <c r="M428" t="str">
        <f t="shared" si="53"/>
        <v>1</v>
      </c>
      <c r="O428" t="str">
        <f t="shared" si="54"/>
        <v>1 </v>
      </c>
      <c r="P428">
        <v>47.05</v>
      </c>
      <c r="Q428" t="s">
        <v>24</v>
      </c>
    </row>
    <row r="429" spans="1:17" ht="15">
      <c r="A429" t="s">
        <v>17</v>
      </c>
      <c r="B429" s="1">
        <v>43152</v>
      </c>
      <c r="C429" t="s">
        <v>111</v>
      </c>
      <c r="D429" t="str">
        <f>CONCATENATE("0070027225","")</f>
        <v>0070027225</v>
      </c>
      <c r="E429" t="str">
        <f>CONCATENATE("0030601003341       ","")</f>
        <v>0030601003341       </v>
      </c>
      <c r="F429" t="str">
        <f>CONCATENATE("606908475","")</f>
        <v>606908475</v>
      </c>
      <c r="G429" t="s">
        <v>781</v>
      </c>
      <c r="H429" t="s">
        <v>117</v>
      </c>
      <c r="I429" t="s">
        <v>852</v>
      </c>
      <c r="J429" t="str">
        <f t="shared" si="52"/>
        <v>080301</v>
      </c>
      <c r="K429" t="s">
        <v>22</v>
      </c>
      <c r="L429" t="s">
        <v>23</v>
      </c>
      <c r="M429" t="str">
        <f t="shared" si="53"/>
        <v>1</v>
      </c>
      <c r="O429" t="str">
        <f t="shared" si="54"/>
        <v>1 </v>
      </c>
      <c r="P429">
        <v>47.15</v>
      </c>
      <c r="Q429" t="s">
        <v>24</v>
      </c>
    </row>
    <row r="430" spans="1:17" ht="15">
      <c r="A430" t="s">
        <v>17</v>
      </c>
      <c r="B430" s="1">
        <v>43152</v>
      </c>
      <c r="C430" t="s">
        <v>111</v>
      </c>
      <c r="D430" t="str">
        <f>CONCATENATE("0070024052","")</f>
        <v>0070024052</v>
      </c>
      <c r="E430" t="str">
        <f>CONCATENATE("0030601003353       ","")</f>
        <v>0030601003353       </v>
      </c>
      <c r="F430" t="str">
        <f>CONCATENATE("606756046","")</f>
        <v>606756046</v>
      </c>
      <c r="G430" t="s">
        <v>781</v>
      </c>
      <c r="H430" t="s">
        <v>853</v>
      </c>
      <c r="I430" t="s">
        <v>854</v>
      </c>
      <c r="J430" t="str">
        <f t="shared" si="52"/>
        <v>080301</v>
      </c>
      <c r="K430" t="s">
        <v>22</v>
      </c>
      <c r="L430" t="s">
        <v>23</v>
      </c>
      <c r="M430" t="str">
        <f t="shared" si="53"/>
        <v>1</v>
      </c>
      <c r="O430" t="str">
        <f t="shared" si="54"/>
        <v>1 </v>
      </c>
      <c r="P430">
        <v>50.85</v>
      </c>
      <c r="Q430" t="s">
        <v>24</v>
      </c>
    </row>
    <row r="431" spans="1:17" ht="15">
      <c r="A431" t="s">
        <v>17</v>
      </c>
      <c r="B431" s="1">
        <v>43152</v>
      </c>
      <c r="C431" t="s">
        <v>111</v>
      </c>
      <c r="D431" t="str">
        <f>CONCATENATE("0070014205","")</f>
        <v>0070014205</v>
      </c>
      <c r="E431" t="str">
        <f>CONCATENATE("0030601003380       ","")</f>
        <v>0030601003380       </v>
      </c>
      <c r="F431" t="str">
        <f>CONCATENATE("606672380","")</f>
        <v>606672380</v>
      </c>
      <c r="G431" t="s">
        <v>781</v>
      </c>
      <c r="H431" t="s">
        <v>855</v>
      </c>
      <c r="I431" t="s">
        <v>856</v>
      </c>
      <c r="J431" t="str">
        <f t="shared" si="52"/>
        <v>080301</v>
      </c>
      <c r="K431" t="s">
        <v>22</v>
      </c>
      <c r="L431" t="s">
        <v>23</v>
      </c>
      <c r="M431" t="str">
        <f t="shared" si="53"/>
        <v>1</v>
      </c>
      <c r="O431" t="str">
        <f t="shared" si="54"/>
        <v>1 </v>
      </c>
      <c r="P431">
        <v>79.85</v>
      </c>
      <c r="Q431" t="s">
        <v>24</v>
      </c>
    </row>
    <row r="432" spans="1:17" ht="15">
      <c r="A432" t="s">
        <v>17</v>
      </c>
      <c r="B432" s="1">
        <v>43152</v>
      </c>
      <c r="C432" t="s">
        <v>111</v>
      </c>
      <c r="D432" t="str">
        <f>CONCATENATE("0070014207","")</f>
        <v>0070014207</v>
      </c>
      <c r="E432" t="str">
        <f>CONCATENATE("0030601003400       ","")</f>
        <v>0030601003400       </v>
      </c>
      <c r="F432" t="str">
        <f>CONCATENATE("1057433","")</f>
        <v>1057433</v>
      </c>
      <c r="G432" t="s">
        <v>781</v>
      </c>
      <c r="H432" t="s">
        <v>857</v>
      </c>
      <c r="I432" t="s">
        <v>856</v>
      </c>
      <c r="J432" t="str">
        <f t="shared" si="52"/>
        <v>080301</v>
      </c>
      <c r="K432" t="s">
        <v>22</v>
      </c>
      <c r="L432" t="s">
        <v>23</v>
      </c>
      <c r="M432" t="str">
        <f t="shared" si="53"/>
        <v>1</v>
      </c>
      <c r="O432" t="str">
        <f t="shared" si="54"/>
        <v>1 </v>
      </c>
      <c r="P432">
        <v>31.85</v>
      </c>
      <c r="Q432" t="s">
        <v>24</v>
      </c>
    </row>
    <row r="433" spans="1:17" ht="15">
      <c r="A433" t="s">
        <v>17</v>
      </c>
      <c r="B433" s="1">
        <v>43152</v>
      </c>
      <c r="C433" t="s">
        <v>111</v>
      </c>
      <c r="D433" t="str">
        <f>CONCATENATE("0070021649","")</f>
        <v>0070021649</v>
      </c>
      <c r="E433" t="str">
        <f>CONCATENATE("0030601010980       ","")</f>
        <v>0030601010980       </v>
      </c>
      <c r="F433" t="str">
        <f>CONCATENATE("1933573","")</f>
        <v>1933573</v>
      </c>
      <c r="G433" t="s">
        <v>781</v>
      </c>
      <c r="H433" t="s">
        <v>858</v>
      </c>
      <c r="I433" t="s">
        <v>859</v>
      </c>
      <c r="J433" t="str">
        <f t="shared" si="52"/>
        <v>080301</v>
      </c>
      <c r="K433" t="s">
        <v>22</v>
      </c>
      <c r="L433" t="s">
        <v>23</v>
      </c>
      <c r="M433" t="str">
        <f t="shared" si="53"/>
        <v>1</v>
      </c>
      <c r="O433" t="str">
        <f t="shared" si="54"/>
        <v>1 </v>
      </c>
      <c r="P433">
        <v>123.22</v>
      </c>
      <c r="Q433" t="s">
        <v>24</v>
      </c>
    </row>
    <row r="434" spans="1:17" ht="15">
      <c r="A434" t="s">
        <v>17</v>
      </c>
      <c r="B434" s="1">
        <v>43152</v>
      </c>
      <c r="C434" t="s">
        <v>111</v>
      </c>
      <c r="D434" t="str">
        <f>CONCATENATE("0070022294","")</f>
        <v>0070022294</v>
      </c>
      <c r="E434" t="str">
        <f>CONCATENATE("0030602001070       ","")</f>
        <v>0030602001070       </v>
      </c>
      <c r="F434" t="str">
        <f>CONCATENATE("1930111","")</f>
        <v>1930111</v>
      </c>
      <c r="G434" t="s">
        <v>860</v>
      </c>
      <c r="H434" t="s">
        <v>861</v>
      </c>
      <c r="I434" t="s">
        <v>862</v>
      </c>
      <c r="J434" t="str">
        <f t="shared" si="52"/>
        <v>080301</v>
      </c>
      <c r="K434" t="s">
        <v>22</v>
      </c>
      <c r="L434" t="s">
        <v>23</v>
      </c>
      <c r="M434" t="str">
        <f t="shared" si="53"/>
        <v>1</v>
      </c>
      <c r="O434" t="str">
        <f t="shared" si="54"/>
        <v>1 </v>
      </c>
      <c r="P434">
        <v>16.95</v>
      </c>
      <c r="Q434" t="s">
        <v>24</v>
      </c>
    </row>
    <row r="435" spans="1:17" ht="15">
      <c r="A435" t="s">
        <v>17</v>
      </c>
      <c r="B435" s="1">
        <v>43152</v>
      </c>
      <c r="C435" t="s">
        <v>111</v>
      </c>
      <c r="D435" t="str">
        <f>CONCATENATE("0070004444","")</f>
        <v>0070004444</v>
      </c>
      <c r="E435" t="str">
        <f>CONCATENATE("0030602002305       ","")</f>
        <v>0030602002305       </v>
      </c>
      <c r="F435" t="str">
        <f>CONCATENATE("607660152","")</f>
        <v>607660152</v>
      </c>
      <c r="G435" t="s">
        <v>767</v>
      </c>
      <c r="H435" t="s">
        <v>863</v>
      </c>
      <c r="I435" t="s">
        <v>864</v>
      </c>
      <c r="J435" t="str">
        <f t="shared" si="52"/>
        <v>080301</v>
      </c>
      <c r="K435" t="s">
        <v>22</v>
      </c>
      <c r="L435" t="s">
        <v>23</v>
      </c>
      <c r="M435" t="str">
        <f t="shared" si="53"/>
        <v>1</v>
      </c>
      <c r="O435" t="str">
        <f t="shared" si="54"/>
        <v>1 </v>
      </c>
      <c r="P435">
        <v>140.55</v>
      </c>
      <c r="Q435" t="s">
        <v>24</v>
      </c>
    </row>
    <row r="436" spans="1:17" ht="15">
      <c r="A436" t="s">
        <v>17</v>
      </c>
      <c r="B436" s="1">
        <v>43152</v>
      </c>
      <c r="C436" t="s">
        <v>111</v>
      </c>
      <c r="D436" t="str">
        <f>CONCATENATE("0070016075","")</f>
        <v>0070016075</v>
      </c>
      <c r="E436" t="str">
        <f>CONCATENATE("0030602002335       ","")</f>
        <v>0030602002335       </v>
      </c>
      <c r="F436" t="str">
        <f>CONCATENATE("12653","")</f>
        <v>12653</v>
      </c>
      <c r="G436" t="s">
        <v>860</v>
      </c>
      <c r="H436" t="s">
        <v>808</v>
      </c>
      <c r="I436" t="s">
        <v>865</v>
      </c>
      <c r="J436" t="str">
        <f t="shared" si="52"/>
        <v>080301</v>
      </c>
      <c r="K436" t="s">
        <v>22</v>
      </c>
      <c r="L436" t="s">
        <v>23</v>
      </c>
      <c r="M436" t="str">
        <f t="shared" si="53"/>
        <v>1</v>
      </c>
      <c r="O436" t="str">
        <f t="shared" si="54"/>
        <v>1 </v>
      </c>
      <c r="P436">
        <v>175</v>
      </c>
      <c r="Q436" t="s">
        <v>24</v>
      </c>
    </row>
    <row r="437" spans="1:17" ht="15">
      <c r="A437" t="s">
        <v>17</v>
      </c>
      <c r="B437" s="1">
        <v>43152</v>
      </c>
      <c r="C437" t="s">
        <v>111</v>
      </c>
      <c r="D437" t="str">
        <f>CONCATENATE("0070020587","")</f>
        <v>0070020587</v>
      </c>
      <c r="E437" t="str">
        <f>CONCATENATE("0030603002310       ","")</f>
        <v>0030603002310       </v>
      </c>
      <c r="F437" t="str">
        <f>CONCATENATE("507008755","")</f>
        <v>507008755</v>
      </c>
      <c r="G437" t="s">
        <v>866</v>
      </c>
      <c r="H437" t="s">
        <v>867</v>
      </c>
      <c r="I437" t="s">
        <v>868</v>
      </c>
      <c r="J437" t="str">
        <f t="shared" si="52"/>
        <v>080301</v>
      </c>
      <c r="K437" t="s">
        <v>22</v>
      </c>
      <c r="L437" t="s">
        <v>23</v>
      </c>
      <c r="M437" t="str">
        <f>CONCATENATE("3","")</f>
        <v>3</v>
      </c>
      <c r="O437" t="str">
        <f t="shared" si="54"/>
        <v>1 </v>
      </c>
      <c r="P437">
        <v>97.15</v>
      </c>
      <c r="Q437" t="s">
        <v>51</v>
      </c>
    </row>
    <row r="438" spans="1:17" ht="15">
      <c r="A438" t="s">
        <v>17</v>
      </c>
      <c r="B438" s="1">
        <v>43152</v>
      </c>
      <c r="C438" t="s">
        <v>111</v>
      </c>
      <c r="D438" t="str">
        <f>CONCATENATE("0070009383","")</f>
        <v>0070009383</v>
      </c>
      <c r="E438" t="str">
        <f>CONCATENATE("0030603003050       ","")</f>
        <v>0030603003050       </v>
      </c>
      <c r="F438" t="str">
        <f>CONCATENATE("606801542","")</f>
        <v>606801542</v>
      </c>
      <c r="G438" t="s">
        <v>866</v>
      </c>
      <c r="H438" t="s">
        <v>869</v>
      </c>
      <c r="I438" t="s">
        <v>870</v>
      </c>
      <c r="J438" t="str">
        <f t="shared" si="52"/>
        <v>080301</v>
      </c>
      <c r="K438" t="s">
        <v>22</v>
      </c>
      <c r="L438" t="s">
        <v>23</v>
      </c>
      <c r="M438" t="str">
        <f>CONCATENATE("1","")</f>
        <v>1</v>
      </c>
      <c r="O438" t="str">
        <f t="shared" si="54"/>
        <v>1 </v>
      </c>
      <c r="P438">
        <v>18.7</v>
      </c>
      <c r="Q438" t="s">
        <v>24</v>
      </c>
    </row>
    <row r="439" spans="1:17" ht="15">
      <c r="A439" t="s">
        <v>17</v>
      </c>
      <c r="B439" s="1">
        <v>43152</v>
      </c>
      <c r="C439" t="s">
        <v>111</v>
      </c>
      <c r="D439" t="str">
        <f>CONCATENATE("0070012714","")</f>
        <v>0070012714</v>
      </c>
      <c r="E439" t="str">
        <f>CONCATENATE("0030603003085       ","")</f>
        <v>0030603003085       </v>
      </c>
      <c r="F439" t="str">
        <f>CONCATENATE("605745145","")</f>
        <v>605745145</v>
      </c>
      <c r="G439" t="s">
        <v>866</v>
      </c>
      <c r="H439" t="s">
        <v>871</v>
      </c>
      <c r="I439" t="s">
        <v>872</v>
      </c>
      <c r="J439" t="str">
        <f t="shared" si="52"/>
        <v>080301</v>
      </c>
      <c r="K439" t="s">
        <v>22</v>
      </c>
      <c r="L439" t="s">
        <v>23</v>
      </c>
      <c r="M439" t="str">
        <f>CONCATENATE("1","")</f>
        <v>1</v>
      </c>
      <c r="O439" t="str">
        <f t="shared" si="54"/>
        <v>1 </v>
      </c>
      <c r="P439">
        <v>81.4</v>
      </c>
      <c r="Q439" t="s">
        <v>24</v>
      </c>
    </row>
    <row r="440" spans="1:17" ht="15">
      <c r="A440" t="s">
        <v>17</v>
      </c>
      <c r="B440" s="1">
        <v>43152</v>
      </c>
      <c r="C440" t="s">
        <v>111</v>
      </c>
      <c r="D440" t="str">
        <f>CONCATENATE("0070011502","")</f>
        <v>0070011502</v>
      </c>
      <c r="E440" t="str">
        <f>CONCATENATE("0030603004040       ","")</f>
        <v>0030603004040       </v>
      </c>
      <c r="F440" t="str">
        <f>CONCATENATE("605749312","")</f>
        <v>605749312</v>
      </c>
      <c r="G440" t="s">
        <v>866</v>
      </c>
      <c r="H440" t="s">
        <v>873</v>
      </c>
      <c r="I440" t="s">
        <v>874</v>
      </c>
      <c r="J440" t="str">
        <f t="shared" si="52"/>
        <v>080301</v>
      </c>
      <c r="K440" t="s">
        <v>22</v>
      </c>
      <c r="L440" t="s">
        <v>23</v>
      </c>
      <c r="M440" t="str">
        <f>CONCATENATE("1","")</f>
        <v>1</v>
      </c>
      <c r="O440" t="str">
        <f t="shared" si="54"/>
        <v>1 </v>
      </c>
      <c r="P440">
        <v>22.35</v>
      </c>
      <c r="Q440" t="s">
        <v>24</v>
      </c>
    </row>
    <row r="441" spans="1:17" ht="15">
      <c r="A441" t="s">
        <v>17</v>
      </c>
      <c r="B441" s="1">
        <v>43152</v>
      </c>
      <c r="C441" t="s">
        <v>111</v>
      </c>
      <c r="D441" t="str">
        <f>CONCATENATE("0070022949","")</f>
        <v>0070022949</v>
      </c>
      <c r="E441" t="str">
        <f>CONCATENATE("0030603004122       ","")</f>
        <v>0030603004122       </v>
      </c>
      <c r="F441" t="str">
        <f>CONCATENATE("2130141","")</f>
        <v>2130141</v>
      </c>
      <c r="G441" t="s">
        <v>866</v>
      </c>
      <c r="H441" t="s">
        <v>875</v>
      </c>
      <c r="I441" t="e">
        <f>-LOTE-6-MZ-E-A-V--VILLA-LA-UNI</f>
        <v>#NAME?</v>
      </c>
      <c r="J441" t="str">
        <f t="shared" si="52"/>
        <v>080301</v>
      </c>
      <c r="K441" t="s">
        <v>22</v>
      </c>
      <c r="L441" t="s">
        <v>23</v>
      </c>
      <c r="M441" t="str">
        <f>CONCATENATE("3","")</f>
        <v>3</v>
      </c>
      <c r="O441" t="str">
        <f t="shared" si="54"/>
        <v>1 </v>
      </c>
      <c r="P441">
        <v>117.4</v>
      </c>
      <c r="Q441" t="s">
        <v>51</v>
      </c>
    </row>
    <row r="442" spans="1:17" ht="15">
      <c r="A442" t="s">
        <v>17</v>
      </c>
      <c r="B442" s="1">
        <v>43152</v>
      </c>
      <c r="C442" t="s">
        <v>111</v>
      </c>
      <c r="D442" t="str">
        <f>CONCATENATE("0070022811","")</f>
        <v>0070022811</v>
      </c>
      <c r="E442" t="str">
        <f>CONCATENATE("0030603004125       ","")</f>
        <v>0030603004125       </v>
      </c>
      <c r="F442" t="str">
        <f>CONCATENATE("2186223","")</f>
        <v>2186223</v>
      </c>
      <c r="G442" t="s">
        <v>866</v>
      </c>
      <c r="H442" t="s">
        <v>876</v>
      </c>
      <c r="I442" t="s">
        <v>877</v>
      </c>
      <c r="J442" t="str">
        <f t="shared" si="52"/>
        <v>080301</v>
      </c>
      <c r="K442" t="s">
        <v>22</v>
      </c>
      <c r="L442" t="s">
        <v>23</v>
      </c>
      <c r="M442" t="str">
        <f>CONCATENATE("1","")</f>
        <v>1</v>
      </c>
      <c r="O442" t="str">
        <f t="shared" si="54"/>
        <v>1 </v>
      </c>
      <c r="P442">
        <v>76.85</v>
      </c>
      <c r="Q442" t="s">
        <v>24</v>
      </c>
    </row>
    <row r="443" spans="1:17" ht="15">
      <c r="A443" t="s">
        <v>17</v>
      </c>
      <c r="B443" s="1">
        <v>43152</v>
      </c>
      <c r="C443" t="s">
        <v>111</v>
      </c>
      <c r="D443" t="str">
        <f>CONCATENATE("0070011495","")</f>
        <v>0070011495</v>
      </c>
      <c r="E443" t="str">
        <f>CONCATENATE("0030603004270       ","")</f>
        <v>0030603004270       </v>
      </c>
      <c r="F443" t="str">
        <f>CONCATENATE("605755448","")</f>
        <v>605755448</v>
      </c>
      <c r="G443" t="s">
        <v>866</v>
      </c>
      <c r="H443" t="s">
        <v>878</v>
      </c>
      <c r="I443" t="s">
        <v>879</v>
      </c>
      <c r="J443" t="str">
        <f t="shared" si="52"/>
        <v>080301</v>
      </c>
      <c r="K443" t="s">
        <v>22</v>
      </c>
      <c r="L443" t="s">
        <v>23</v>
      </c>
      <c r="M443" t="str">
        <f>CONCATENATE("1","")</f>
        <v>1</v>
      </c>
      <c r="O443" t="str">
        <f t="shared" si="54"/>
        <v>1 </v>
      </c>
      <c r="P443">
        <v>62.2</v>
      </c>
      <c r="Q443" t="s">
        <v>24</v>
      </c>
    </row>
    <row r="444" spans="1:17" ht="15">
      <c r="A444" t="s">
        <v>17</v>
      </c>
      <c r="B444" s="1">
        <v>43152</v>
      </c>
      <c r="C444" t="s">
        <v>111</v>
      </c>
      <c r="D444" t="str">
        <f>CONCATENATE("0070009986","")</f>
        <v>0070009986</v>
      </c>
      <c r="E444" t="str">
        <f>CONCATENATE("0030603004320       ","")</f>
        <v>0030603004320       </v>
      </c>
      <c r="F444" t="str">
        <f>CONCATENATE("605630422","")</f>
        <v>605630422</v>
      </c>
      <c r="G444" t="s">
        <v>866</v>
      </c>
      <c r="H444" t="s">
        <v>880</v>
      </c>
      <c r="I444" t="s">
        <v>881</v>
      </c>
      <c r="J444" t="str">
        <f t="shared" si="52"/>
        <v>080301</v>
      </c>
      <c r="K444" t="s">
        <v>22</v>
      </c>
      <c r="L444" t="s">
        <v>23</v>
      </c>
      <c r="M444" t="str">
        <f>CONCATENATE("1","")</f>
        <v>1</v>
      </c>
      <c r="O444" t="str">
        <f t="shared" si="54"/>
        <v>1 </v>
      </c>
      <c r="P444">
        <v>1.5</v>
      </c>
      <c r="Q444" t="s">
        <v>24</v>
      </c>
    </row>
    <row r="445" spans="1:17" ht="15">
      <c r="A445" t="s">
        <v>17</v>
      </c>
      <c r="B445" s="1">
        <v>43152</v>
      </c>
      <c r="C445" t="s">
        <v>111</v>
      </c>
      <c r="D445" t="str">
        <f>CONCATENATE("0070023514","")</f>
        <v>0070023514</v>
      </c>
      <c r="E445" t="str">
        <f>CONCATENATE("0030603005025       ","")</f>
        <v>0030603005025       </v>
      </c>
      <c r="F445" t="str">
        <f>CONCATENATE("507030514","")</f>
        <v>507030514</v>
      </c>
      <c r="G445" t="s">
        <v>866</v>
      </c>
      <c r="H445" t="s">
        <v>882</v>
      </c>
      <c r="I445" t="s">
        <v>883</v>
      </c>
      <c r="J445" t="str">
        <f t="shared" si="52"/>
        <v>080301</v>
      </c>
      <c r="K445" t="s">
        <v>22</v>
      </c>
      <c r="L445" t="s">
        <v>23</v>
      </c>
      <c r="M445" t="str">
        <f>CONCATENATE("3","")</f>
        <v>3</v>
      </c>
      <c r="O445" t="str">
        <f t="shared" si="54"/>
        <v>1 </v>
      </c>
      <c r="P445">
        <v>39.95</v>
      </c>
      <c r="Q445" t="s">
        <v>51</v>
      </c>
    </row>
    <row r="446" spans="1:17" ht="15">
      <c r="A446" t="s">
        <v>17</v>
      </c>
      <c r="B446" s="1">
        <v>43152</v>
      </c>
      <c r="C446" t="s">
        <v>111</v>
      </c>
      <c r="D446" t="str">
        <f>CONCATENATE("0070011490","")</f>
        <v>0070011490</v>
      </c>
      <c r="E446" t="str">
        <f>CONCATENATE("0030603005060       ","")</f>
        <v>0030603005060       </v>
      </c>
      <c r="F446" t="str">
        <f>CONCATENATE("605755430","")</f>
        <v>605755430</v>
      </c>
      <c r="G446" t="s">
        <v>866</v>
      </c>
      <c r="H446" t="s">
        <v>884</v>
      </c>
      <c r="I446" t="s">
        <v>885</v>
      </c>
      <c r="J446" t="str">
        <f t="shared" si="52"/>
        <v>080301</v>
      </c>
      <c r="K446" t="s">
        <v>22</v>
      </c>
      <c r="L446" t="s">
        <v>23</v>
      </c>
      <c r="M446" t="str">
        <f>CONCATENATE("1","")</f>
        <v>1</v>
      </c>
      <c r="O446" t="str">
        <f t="shared" si="54"/>
        <v>1 </v>
      </c>
      <c r="P446">
        <v>46.85</v>
      </c>
      <c r="Q446" t="s">
        <v>24</v>
      </c>
    </row>
    <row r="447" spans="1:17" ht="15">
      <c r="A447" t="s">
        <v>17</v>
      </c>
      <c r="B447" s="1">
        <v>43152</v>
      </c>
      <c r="C447" t="s">
        <v>111</v>
      </c>
      <c r="D447" t="str">
        <f>CONCATENATE("0070011491","")</f>
        <v>0070011491</v>
      </c>
      <c r="E447" t="str">
        <f>CONCATENATE("0030603005070       ","")</f>
        <v>0030603005070       </v>
      </c>
      <c r="F447" t="str">
        <f>CONCATENATE("605755444","")</f>
        <v>605755444</v>
      </c>
      <c r="G447" t="s">
        <v>866</v>
      </c>
      <c r="H447" t="s">
        <v>886</v>
      </c>
      <c r="I447" t="s">
        <v>887</v>
      </c>
      <c r="J447" t="str">
        <f t="shared" si="52"/>
        <v>080301</v>
      </c>
      <c r="K447" t="s">
        <v>22</v>
      </c>
      <c r="L447" t="s">
        <v>23</v>
      </c>
      <c r="M447" t="str">
        <f>CONCATENATE("1","")</f>
        <v>1</v>
      </c>
      <c r="O447" t="str">
        <f t="shared" si="54"/>
        <v>1 </v>
      </c>
      <c r="P447">
        <v>65.9</v>
      </c>
      <c r="Q447" t="s">
        <v>24</v>
      </c>
    </row>
    <row r="448" spans="1:17" ht="15">
      <c r="A448" t="s">
        <v>17</v>
      </c>
      <c r="B448" s="1">
        <v>43152</v>
      </c>
      <c r="C448" t="s">
        <v>111</v>
      </c>
      <c r="D448" t="str">
        <f>CONCATENATE("0070005158","")</f>
        <v>0070005158</v>
      </c>
      <c r="E448" t="str">
        <f>CONCATENATE("0030604001010       ","")</f>
        <v>0030604001010       </v>
      </c>
      <c r="F448" t="str">
        <f>CONCATENATE("2186690","")</f>
        <v>2186690</v>
      </c>
      <c r="G448" t="s">
        <v>888</v>
      </c>
      <c r="H448" t="s">
        <v>889</v>
      </c>
      <c r="I448" t="s">
        <v>890</v>
      </c>
      <c r="J448" t="str">
        <f t="shared" si="52"/>
        <v>080301</v>
      </c>
      <c r="K448" t="s">
        <v>22</v>
      </c>
      <c r="L448" t="s">
        <v>23</v>
      </c>
      <c r="M448" t="str">
        <f>CONCATENATE("1","")</f>
        <v>1</v>
      </c>
      <c r="O448" t="str">
        <f t="shared" si="54"/>
        <v>1 </v>
      </c>
      <c r="P448">
        <v>1035.35</v>
      </c>
      <c r="Q448" t="s">
        <v>24</v>
      </c>
    </row>
    <row r="449" spans="1:17" ht="15">
      <c r="A449" t="s">
        <v>17</v>
      </c>
      <c r="B449" s="1">
        <v>43152</v>
      </c>
      <c r="C449" t="s">
        <v>111</v>
      </c>
      <c r="D449" t="str">
        <f>CONCATENATE("0070027382","")</f>
        <v>0070027382</v>
      </c>
      <c r="E449" t="str">
        <f>CONCATENATE("0030604001041       ","")</f>
        <v>0030604001041       </v>
      </c>
      <c r="F449" t="str">
        <f>CONCATENATE("607415665","")</f>
        <v>607415665</v>
      </c>
      <c r="G449" t="s">
        <v>888</v>
      </c>
      <c r="H449" t="s">
        <v>891</v>
      </c>
      <c r="I449" t="e">
        <f>-SECTOR-PUCRUPAMPA-HOSPITALPAM</f>
        <v>#NAME?</v>
      </c>
      <c r="J449" t="str">
        <f aca="true" t="shared" si="55" ref="J449:J480">CONCATENATE("080301","")</f>
        <v>080301</v>
      </c>
      <c r="K449" t="s">
        <v>22</v>
      </c>
      <c r="L449" t="s">
        <v>23</v>
      </c>
      <c r="M449" t="str">
        <f>CONCATENATE("3","")</f>
        <v>3</v>
      </c>
      <c r="O449" t="str">
        <f t="shared" si="54"/>
        <v>1 </v>
      </c>
      <c r="P449">
        <v>88.95</v>
      </c>
      <c r="Q449" t="s">
        <v>51</v>
      </c>
    </row>
    <row r="450" spans="1:17" ht="15">
      <c r="A450" t="s">
        <v>17</v>
      </c>
      <c r="B450" s="1">
        <v>43152</v>
      </c>
      <c r="C450" t="s">
        <v>111</v>
      </c>
      <c r="D450" t="str">
        <f>CONCATENATE("0070023294","")</f>
        <v>0070023294</v>
      </c>
      <c r="E450" t="str">
        <f>CONCATENATE("0030604001042       ","")</f>
        <v>0030604001042       </v>
      </c>
      <c r="F450" t="str">
        <f>CONCATENATE("606595933","")</f>
        <v>606595933</v>
      </c>
      <c r="G450" t="s">
        <v>888</v>
      </c>
      <c r="H450" t="s">
        <v>892</v>
      </c>
      <c r="I450" t="s">
        <v>893</v>
      </c>
      <c r="J450" t="str">
        <f t="shared" si="55"/>
        <v>080301</v>
      </c>
      <c r="K450" t="s">
        <v>22</v>
      </c>
      <c r="L450" t="s">
        <v>23</v>
      </c>
      <c r="M450" t="str">
        <f>CONCATENATE("1","")</f>
        <v>1</v>
      </c>
      <c r="O450" t="str">
        <f t="shared" si="54"/>
        <v>1 </v>
      </c>
      <c r="P450">
        <v>16.4</v>
      </c>
      <c r="Q450" t="s">
        <v>24</v>
      </c>
    </row>
    <row r="451" spans="1:17" ht="15">
      <c r="A451" t="s">
        <v>17</v>
      </c>
      <c r="B451" s="1">
        <v>43152</v>
      </c>
      <c r="C451" t="s">
        <v>111</v>
      </c>
      <c r="D451" t="str">
        <f>CONCATENATE("0070021931","")</f>
        <v>0070021931</v>
      </c>
      <c r="E451" t="str">
        <f>CONCATENATE("0030604001195       ","")</f>
        <v>0030604001195       </v>
      </c>
      <c r="F451" t="str">
        <f>CONCATENATE("507030084","")</f>
        <v>507030084</v>
      </c>
      <c r="G451" t="s">
        <v>894</v>
      </c>
      <c r="H451" t="s">
        <v>895</v>
      </c>
      <c r="I451" t="s">
        <v>896</v>
      </c>
      <c r="J451" t="str">
        <f t="shared" si="55"/>
        <v>080301</v>
      </c>
      <c r="K451" t="s">
        <v>22</v>
      </c>
      <c r="L451" t="s">
        <v>23</v>
      </c>
      <c r="M451" t="str">
        <f>CONCATENATE("3","")</f>
        <v>3</v>
      </c>
      <c r="O451" t="str">
        <f t="shared" si="54"/>
        <v>1 </v>
      </c>
      <c r="P451">
        <v>61.15</v>
      </c>
      <c r="Q451" t="s">
        <v>51</v>
      </c>
    </row>
    <row r="452" spans="1:17" ht="15">
      <c r="A452" t="s">
        <v>17</v>
      </c>
      <c r="B452" s="1">
        <v>43152</v>
      </c>
      <c r="C452" t="s">
        <v>111</v>
      </c>
      <c r="D452" t="str">
        <f>CONCATENATE("0070015703","")</f>
        <v>0070015703</v>
      </c>
      <c r="E452" t="str">
        <f>CONCATENATE("0030604001393       ","")</f>
        <v>0030604001393       </v>
      </c>
      <c r="F452" t="str">
        <f>CONCATENATE("507008566","")</f>
        <v>507008566</v>
      </c>
      <c r="G452" t="s">
        <v>894</v>
      </c>
      <c r="H452" t="s">
        <v>117</v>
      </c>
      <c r="I452" t="s">
        <v>897</v>
      </c>
      <c r="J452" t="str">
        <f t="shared" si="55"/>
        <v>080301</v>
      </c>
      <c r="K452" t="s">
        <v>22</v>
      </c>
      <c r="L452" t="s">
        <v>23</v>
      </c>
      <c r="M452" t="str">
        <f>CONCATENATE("3","")</f>
        <v>3</v>
      </c>
      <c r="O452" t="str">
        <f t="shared" si="54"/>
        <v>1 </v>
      </c>
      <c r="P452">
        <v>85.75</v>
      </c>
      <c r="Q452" t="s">
        <v>51</v>
      </c>
    </row>
    <row r="453" spans="1:17" ht="15">
      <c r="A453" t="s">
        <v>17</v>
      </c>
      <c r="B453" s="1">
        <v>43152</v>
      </c>
      <c r="C453" t="s">
        <v>111</v>
      </c>
      <c r="D453" t="str">
        <f>CONCATENATE("0070005169","")</f>
        <v>0070005169</v>
      </c>
      <c r="E453" t="str">
        <f>CONCATENATE("0030604002330       ","")</f>
        <v>0030604002330       </v>
      </c>
      <c r="F453" t="str">
        <f>CONCATENATE("607415656","")</f>
        <v>607415656</v>
      </c>
      <c r="G453" t="s">
        <v>888</v>
      </c>
      <c r="H453" t="s">
        <v>898</v>
      </c>
      <c r="I453" t="s">
        <v>899</v>
      </c>
      <c r="J453" t="str">
        <f t="shared" si="55"/>
        <v>080301</v>
      </c>
      <c r="K453" t="s">
        <v>22</v>
      </c>
      <c r="L453" t="s">
        <v>23</v>
      </c>
      <c r="M453" t="str">
        <f>CONCATENATE("3","")</f>
        <v>3</v>
      </c>
      <c r="O453" t="str">
        <f t="shared" si="54"/>
        <v>1 </v>
      </c>
      <c r="P453">
        <v>70.4</v>
      </c>
      <c r="Q453" t="s">
        <v>51</v>
      </c>
    </row>
    <row r="454" spans="1:17" ht="15">
      <c r="A454" t="s">
        <v>17</v>
      </c>
      <c r="B454" s="1">
        <v>43152</v>
      </c>
      <c r="C454" t="s">
        <v>111</v>
      </c>
      <c r="D454" t="str">
        <f>CONCATENATE("0070005059","")</f>
        <v>0070005059</v>
      </c>
      <c r="E454" t="str">
        <f>CONCATENATE("0030605002250       ","")</f>
        <v>0030605002250       </v>
      </c>
      <c r="F454" t="str">
        <f>CONCATENATE("606750322","")</f>
        <v>606750322</v>
      </c>
      <c r="G454" t="s">
        <v>900</v>
      </c>
      <c r="H454" t="s">
        <v>901</v>
      </c>
      <c r="I454" t="s">
        <v>902</v>
      </c>
      <c r="J454" t="str">
        <f t="shared" si="55"/>
        <v>080301</v>
      </c>
      <c r="K454" t="s">
        <v>22</v>
      </c>
      <c r="L454" t="s">
        <v>23</v>
      </c>
      <c r="M454" t="str">
        <f>CONCATENATE("1","")</f>
        <v>1</v>
      </c>
      <c r="O454" t="str">
        <f t="shared" si="54"/>
        <v>1 </v>
      </c>
      <c r="P454">
        <v>35.15</v>
      </c>
      <c r="Q454" t="s">
        <v>24</v>
      </c>
    </row>
    <row r="455" spans="1:17" ht="15">
      <c r="A455" t="s">
        <v>17</v>
      </c>
      <c r="B455" s="1">
        <v>43152</v>
      </c>
      <c r="C455" t="s">
        <v>111</v>
      </c>
      <c r="D455" t="str">
        <f>CONCATENATE("0070005074","")</f>
        <v>0070005074</v>
      </c>
      <c r="E455" t="str">
        <f>CONCATENATE("0030605002490       ","")</f>
        <v>0030605002490       </v>
      </c>
      <c r="F455" t="str">
        <f>CONCATENATE("606747201","")</f>
        <v>606747201</v>
      </c>
      <c r="G455" t="s">
        <v>900</v>
      </c>
      <c r="H455" t="s">
        <v>903</v>
      </c>
      <c r="I455" t="s">
        <v>902</v>
      </c>
      <c r="J455" t="str">
        <f t="shared" si="55"/>
        <v>080301</v>
      </c>
      <c r="K455" t="s">
        <v>22</v>
      </c>
      <c r="L455" t="s">
        <v>23</v>
      </c>
      <c r="M455" t="str">
        <f>CONCATENATE("1","")</f>
        <v>1</v>
      </c>
      <c r="O455" t="str">
        <f t="shared" si="54"/>
        <v>1 </v>
      </c>
      <c r="P455">
        <v>51.9</v>
      </c>
      <c r="Q455" t="s">
        <v>24</v>
      </c>
    </row>
    <row r="456" spans="1:17" ht="15">
      <c r="A456" t="s">
        <v>17</v>
      </c>
      <c r="B456" s="1">
        <v>43152</v>
      </c>
      <c r="C456" t="s">
        <v>111</v>
      </c>
      <c r="D456" t="str">
        <f>CONCATENATE("0070023283","")</f>
        <v>0070023283</v>
      </c>
      <c r="E456" t="str">
        <f>CONCATENATE("0030605002496       ","")</f>
        <v>0030605002496       </v>
      </c>
      <c r="F456" t="str">
        <f>CONCATENATE("606595929","")</f>
        <v>606595929</v>
      </c>
      <c r="G456" t="s">
        <v>900</v>
      </c>
      <c r="H456" t="s">
        <v>904</v>
      </c>
      <c r="I456" t="s">
        <v>905</v>
      </c>
      <c r="J456" t="str">
        <f t="shared" si="55"/>
        <v>080301</v>
      </c>
      <c r="K456" t="s">
        <v>22</v>
      </c>
      <c r="L456" t="s">
        <v>23</v>
      </c>
      <c r="M456" t="str">
        <f>CONCATENATE("1","")</f>
        <v>1</v>
      </c>
      <c r="O456" t="str">
        <f t="shared" si="54"/>
        <v>1 </v>
      </c>
      <c r="P456">
        <v>17.1</v>
      </c>
      <c r="Q456" t="s">
        <v>24</v>
      </c>
    </row>
    <row r="457" spans="1:17" ht="15">
      <c r="A457" t="s">
        <v>17</v>
      </c>
      <c r="B457" s="1">
        <v>43152</v>
      </c>
      <c r="C457" t="s">
        <v>111</v>
      </c>
      <c r="D457" t="str">
        <f>CONCATENATE("0070010057","")</f>
        <v>0070010057</v>
      </c>
      <c r="E457" t="str">
        <f>CONCATENATE("0030605002510       ","")</f>
        <v>0030605002510       </v>
      </c>
      <c r="F457" t="str">
        <f>CONCATENATE("1934113","")</f>
        <v>1934113</v>
      </c>
      <c r="G457" t="s">
        <v>900</v>
      </c>
      <c r="H457" t="s">
        <v>906</v>
      </c>
      <c r="I457" t="s">
        <v>907</v>
      </c>
      <c r="J457" t="str">
        <f t="shared" si="55"/>
        <v>080301</v>
      </c>
      <c r="K457" t="s">
        <v>22</v>
      </c>
      <c r="L457" t="s">
        <v>23</v>
      </c>
      <c r="M457" t="str">
        <f>CONCATENATE("1","")</f>
        <v>1</v>
      </c>
      <c r="O457" t="str">
        <f t="shared" si="54"/>
        <v>1 </v>
      </c>
      <c r="P457">
        <v>63.75</v>
      </c>
      <c r="Q457" t="s">
        <v>24</v>
      </c>
    </row>
    <row r="458" spans="1:17" ht="15">
      <c r="A458" t="s">
        <v>17</v>
      </c>
      <c r="B458" s="1">
        <v>43152</v>
      </c>
      <c r="C458" t="s">
        <v>111</v>
      </c>
      <c r="D458" t="str">
        <f>CONCATENATE("0070015660","")</f>
        <v>0070015660</v>
      </c>
      <c r="E458" t="str">
        <f>CONCATENATE("0030605002595       ","")</f>
        <v>0030605002595       </v>
      </c>
      <c r="F458" t="str">
        <f>CONCATENATE("605117007","")</f>
        <v>605117007</v>
      </c>
      <c r="G458" t="s">
        <v>900</v>
      </c>
      <c r="H458" t="s">
        <v>908</v>
      </c>
      <c r="I458" t="str">
        <f>CONCATENATE("24-DICIEMBRE-UPIS---IZCUCHACA","")</f>
        <v>24-DICIEMBRE-UPIS---IZCUCHACA</v>
      </c>
      <c r="J458" t="str">
        <f t="shared" si="55"/>
        <v>080301</v>
      </c>
      <c r="K458" t="s">
        <v>22</v>
      </c>
      <c r="L458" t="s">
        <v>23</v>
      </c>
      <c r="M458" t="str">
        <f>CONCATENATE("1","")</f>
        <v>1</v>
      </c>
      <c r="O458" t="str">
        <f t="shared" si="54"/>
        <v>1 </v>
      </c>
      <c r="P458">
        <v>56.05</v>
      </c>
      <c r="Q458" t="s">
        <v>24</v>
      </c>
    </row>
    <row r="459" spans="1:17" ht="15">
      <c r="A459" t="s">
        <v>17</v>
      </c>
      <c r="B459" s="1">
        <v>43152</v>
      </c>
      <c r="C459" t="s">
        <v>111</v>
      </c>
      <c r="D459" t="str">
        <f>CONCATENATE("0070019011","")</f>
        <v>0070019011</v>
      </c>
      <c r="E459" t="str">
        <f>CONCATENATE("0030606001045       ","")</f>
        <v>0030606001045       </v>
      </c>
      <c r="F459" t="str">
        <f>CONCATENATE("112920","")</f>
        <v>112920</v>
      </c>
      <c r="G459" t="s">
        <v>909</v>
      </c>
      <c r="H459" t="s">
        <v>117</v>
      </c>
      <c r="I459" t="s">
        <v>910</v>
      </c>
      <c r="J459" t="str">
        <f t="shared" si="55"/>
        <v>080301</v>
      </c>
      <c r="K459" t="s">
        <v>22</v>
      </c>
      <c r="L459" t="s">
        <v>23</v>
      </c>
      <c r="M459" t="str">
        <f>CONCATENATE("3","")</f>
        <v>3</v>
      </c>
      <c r="O459" t="str">
        <f aca="true" t="shared" si="56" ref="O459:O490">CONCATENATE("1 ","")</f>
        <v>1 </v>
      </c>
      <c r="P459">
        <v>603.2</v>
      </c>
      <c r="Q459" t="s">
        <v>51</v>
      </c>
    </row>
    <row r="460" spans="1:17" ht="15">
      <c r="A460" t="s">
        <v>17</v>
      </c>
      <c r="B460" s="1">
        <v>43152</v>
      </c>
      <c r="C460" t="s">
        <v>111</v>
      </c>
      <c r="D460" t="str">
        <f>CONCATENATE("0070004955","")</f>
        <v>0070004955</v>
      </c>
      <c r="E460" t="str">
        <f>CONCATENATE("0030606001160       ","")</f>
        <v>0030606001160       </v>
      </c>
      <c r="F460" t="str">
        <f>CONCATENATE("606664328","")</f>
        <v>606664328</v>
      </c>
      <c r="G460" t="s">
        <v>909</v>
      </c>
      <c r="H460" t="s">
        <v>911</v>
      </c>
      <c r="I460" t="s">
        <v>912</v>
      </c>
      <c r="J460" t="str">
        <f t="shared" si="55"/>
        <v>080301</v>
      </c>
      <c r="K460" t="s">
        <v>22</v>
      </c>
      <c r="L460" t="s">
        <v>23</v>
      </c>
      <c r="M460" t="str">
        <f>CONCATENATE("1","")</f>
        <v>1</v>
      </c>
      <c r="O460" t="str">
        <f t="shared" si="56"/>
        <v>1 </v>
      </c>
      <c r="P460">
        <v>79.55</v>
      </c>
      <c r="Q460" t="s">
        <v>24</v>
      </c>
    </row>
    <row r="461" spans="1:17" ht="15">
      <c r="A461" t="s">
        <v>17</v>
      </c>
      <c r="B461" s="1">
        <v>43152</v>
      </c>
      <c r="C461" t="s">
        <v>111</v>
      </c>
      <c r="D461" t="str">
        <f>CONCATENATE("0070004953","")</f>
        <v>0070004953</v>
      </c>
      <c r="E461" t="str">
        <f>CONCATENATE("0030606001230       ","")</f>
        <v>0030606001230       </v>
      </c>
      <c r="F461" t="str">
        <f>CONCATENATE("2129396","")</f>
        <v>2129396</v>
      </c>
      <c r="G461" t="s">
        <v>909</v>
      </c>
      <c r="H461" t="s">
        <v>913</v>
      </c>
      <c r="I461" t="s">
        <v>914</v>
      </c>
      <c r="J461" t="str">
        <f t="shared" si="55"/>
        <v>080301</v>
      </c>
      <c r="K461" t="s">
        <v>22</v>
      </c>
      <c r="L461" t="s">
        <v>23</v>
      </c>
      <c r="M461" t="str">
        <f>CONCATENATE("1","")</f>
        <v>1</v>
      </c>
      <c r="O461" t="str">
        <f t="shared" si="56"/>
        <v>1 </v>
      </c>
      <c r="P461">
        <v>130.45</v>
      </c>
      <c r="Q461" t="s">
        <v>24</v>
      </c>
    </row>
    <row r="462" spans="1:17" ht="15">
      <c r="A462" t="s">
        <v>17</v>
      </c>
      <c r="B462" s="1">
        <v>43152</v>
      </c>
      <c r="C462" t="s">
        <v>111</v>
      </c>
      <c r="D462" t="str">
        <f>CONCATENATE("0070004931","")</f>
        <v>0070004931</v>
      </c>
      <c r="E462" t="str">
        <f>CONCATENATE("0030606002044       ","")</f>
        <v>0030606002044       </v>
      </c>
      <c r="F462" t="str">
        <f>CONCATENATE("607431071","")</f>
        <v>607431071</v>
      </c>
      <c r="G462" t="s">
        <v>909</v>
      </c>
      <c r="H462" t="s">
        <v>915</v>
      </c>
      <c r="I462" t="s">
        <v>916</v>
      </c>
      <c r="J462" t="str">
        <f t="shared" si="55"/>
        <v>080301</v>
      </c>
      <c r="K462" t="s">
        <v>22</v>
      </c>
      <c r="L462" t="s">
        <v>23</v>
      </c>
      <c r="M462" t="str">
        <f>CONCATENATE("4","")</f>
        <v>4</v>
      </c>
      <c r="O462" t="str">
        <f t="shared" si="56"/>
        <v>1 </v>
      </c>
      <c r="P462">
        <v>531.6</v>
      </c>
      <c r="Q462" t="s">
        <v>51</v>
      </c>
    </row>
    <row r="463" spans="1:17" ht="15">
      <c r="A463" t="s">
        <v>17</v>
      </c>
      <c r="B463" s="1">
        <v>43152</v>
      </c>
      <c r="C463" t="s">
        <v>111</v>
      </c>
      <c r="D463" t="str">
        <f>CONCATENATE("0070004932","")</f>
        <v>0070004932</v>
      </c>
      <c r="E463" t="str">
        <f>CONCATENATE("0030606002046       ","")</f>
        <v>0030606002046       </v>
      </c>
      <c r="F463" t="str">
        <f>CONCATENATE("606899904","")</f>
        <v>606899904</v>
      </c>
      <c r="G463" t="s">
        <v>909</v>
      </c>
      <c r="H463" t="s">
        <v>917</v>
      </c>
      <c r="I463" t="s">
        <v>918</v>
      </c>
      <c r="J463" t="str">
        <f t="shared" si="55"/>
        <v>080301</v>
      </c>
      <c r="K463" t="s">
        <v>22</v>
      </c>
      <c r="L463" t="s">
        <v>23</v>
      </c>
      <c r="M463" t="str">
        <f>CONCATENATE("1","")</f>
        <v>1</v>
      </c>
      <c r="O463" t="str">
        <f t="shared" si="56"/>
        <v>1 </v>
      </c>
      <c r="P463">
        <v>362.1</v>
      </c>
      <c r="Q463" t="s">
        <v>24</v>
      </c>
    </row>
    <row r="464" spans="1:17" ht="15">
      <c r="A464" t="s">
        <v>17</v>
      </c>
      <c r="B464" s="1">
        <v>43152</v>
      </c>
      <c r="C464" t="s">
        <v>111</v>
      </c>
      <c r="D464" t="str">
        <f>CONCATENATE("0070017471","")</f>
        <v>0070017471</v>
      </c>
      <c r="E464" t="str">
        <f>CONCATENATE("0030606002068       ","")</f>
        <v>0030606002068       </v>
      </c>
      <c r="F464" t="str">
        <f>CONCATENATE("607448500","")</f>
        <v>607448500</v>
      </c>
      <c r="G464" t="s">
        <v>909</v>
      </c>
      <c r="H464" t="s">
        <v>919</v>
      </c>
      <c r="I464" t="s">
        <v>920</v>
      </c>
      <c r="J464" t="str">
        <f t="shared" si="55"/>
        <v>080301</v>
      </c>
      <c r="K464" t="s">
        <v>22</v>
      </c>
      <c r="L464" t="s">
        <v>23</v>
      </c>
      <c r="M464" t="str">
        <f>CONCATENATE("1","")</f>
        <v>1</v>
      </c>
      <c r="O464" t="str">
        <f t="shared" si="56"/>
        <v>1 </v>
      </c>
      <c r="P464">
        <v>43.85</v>
      </c>
      <c r="Q464" t="s">
        <v>24</v>
      </c>
    </row>
    <row r="465" spans="1:17" ht="15">
      <c r="A465" t="s">
        <v>17</v>
      </c>
      <c r="B465" s="1">
        <v>43152</v>
      </c>
      <c r="C465" t="s">
        <v>111</v>
      </c>
      <c r="D465" t="str">
        <f>CONCATENATE("0070016046","")</f>
        <v>0070016046</v>
      </c>
      <c r="E465" t="str">
        <f>CONCATENATE("0030606002145       ","")</f>
        <v>0030606002145       </v>
      </c>
      <c r="F465" t="str">
        <f>CONCATENATE("1942880","")</f>
        <v>1942880</v>
      </c>
      <c r="G465" t="s">
        <v>909</v>
      </c>
      <c r="H465" t="s">
        <v>921</v>
      </c>
      <c r="I465" t="s">
        <v>922</v>
      </c>
      <c r="J465" t="str">
        <f t="shared" si="55"/>
        <v>080301</v>
      </c>
      <c r="K465" t="s">
        <v>22</v>
      </c>
      <c r="L465" t="s">
        <v>23</v>
      </c>
      <c r="M465" t="str">
        <f>CONCATENATE("1","")</f>
        <v>1</v>
      </c>
      <c r="O465" t="str">
        <f t="shared" si="56"/>
        <v>1 </v>
      </c>
      <c r="P465">
        <v>103.45</v>
      </c>
      <c r="Q465" t="s">
        <v>24</v>
      </c>
    </row>
    <row r="466" spans="1:17" ht="15">
      <c r="A466" t="s">
        <v>17</v>
      </c>
      <c r="B466" s="1">
        <v>43152</v>
      </c>
      <c r="C466" t="s">
        <v>111</v>
      </c>
      <c r="D466" t="str">
        <f>CONCATENATE("0070005029","")</f>
        <v>0070005029</v>
      </c>
      <c r="E466" t="str">
        <f>CONCATENATE("0030606002150       ","")</f>
        <v>0030606002150       </v>
      </c>
      <c r="F466" t="str">
        <f>CONCATENATE("1933995","")</f>
        <v>1933995</v>
      </c>
      <c r="G466" t="s">
        <v>909</v>
      </c>
      <c r="H466" t="s">
        <v>923</v>
      </c>
      <c r="I466" t="s">
        <v>924</v>
      </c>
      <c r="J466" t="str">
        <f t="shared" si="55"/>
        <v>080301</v>
      </c>
      <c r="K466" t="s">
        <v>22</v>
      </c>
      <c r="L466" t="s">
        <v>23</v>
      </c>
      <c r="M466" t="str">
        <f>CONCATENATE("1","")</f>
        <v>1</v>
      </c>
      <c r="O466" t="str">
        <f t="shared" si="56"/>
        <v>1 </v>
      </c>
      <c r="P466">
        <v>25.55</v>
      </c>
      <c r="Q466" t="s">
        <v>24</v>
      </c>
    </row>
    <row r="467" spans="1:17" ht="15">
      <c r="A467" t="s">
        <v>17</v>
      </c>
      <c r="B467" s="1">
        <v>43152</v>
      </c>
      <c r="C467" t="s">
        <v>111</v>
      </c>
      <c r="D467" t="str">
        <f>CONCATENATE("0070021824","")</f>
        <v>0070021824</v>
      </c>
      <c r="E467" t="str">
        <f>CONCATENATE("0030606002755       ","")</f>
        <v>0030606002755       </v>
      </c>
      <c r="F467" t="str">
        <f>CONCATENATE("1930120","")</f>
        <v>1930120</v>
      </c>
      <c r="G467" t="s">
        <v>909</v>
      </c>
      <c r="H467" t="s">
        <v>925</v>
      </c>
      <c r="I467" t="s">
        <v>926</v>
      </c>
      <c r="J467" t="str">
        <f t="shared" si="55"/>
        <v>080301</v>
      </c>
      <c r="K467" t="s">
        <v>22</v>
      </c>
      <c r="L467" t="s">
        <v>23</v>
      </c>
      <c r="M467" t="str">
        <f>CONCATENATE("1","")</f>
        <v>1</v>
      </c>
      <c r="O467" t="str">
        <f t="shared" si="56"/>
        <v>1 </v>
      </c>
      <c r="P467">
        <v>60.75</v>
      </c>
      <c r="Q467" t="s">
        <v>24</v>
      </c>
    </row>
    <row r="468" spans="1:17" ht="15">
      <c r="A468" t="s">
        <v>17</v>
      </c>
      <c r="B468" s="1">
        <v>43152</v>
      </c>
      <c r="C468" t="s">
        <v>111</v>
      </c>
      <c r="D468" t="str">
        <f>CONCATENATE("0070004991","")</f>
        <v>0070004991</v>
      </c>
      <c r="E468" t="str">
        <f>CONCATENATE("0030606003040       ","")</f>
        <v>0030606003040       </v>
      </c>
      <c r="F468" t="str">
        <f>CONCATENATE("607432138","")</f>
        <v>607432138</v>
      </c>
      <c r="G468" t="s">
        <v>927</v>
      </c>
      <c r="H468" t="s">
        <v>928</v>
      </c>
      <c r="I468" t="s">
        <v>929</v>
      </c>
      <c r="J468" t="str">
        <f t="shared" si="55"/>
        <v>080301</v>
      </c>
      <c r="K468" t="s">
        <v>22</v>
      </c>
      <c r="L468" t="s">
        <v>23</v>
      </c>
      <c r="M468" t="str">
        <f>CONCATENATE("4","")</f>
        <v>4</v>
      </c>
      <c r="O468" t="str">
        <f t="shared" si="56"/>
        <v>1 </v>
      </c>
      <c r="P468">
        <v>68.85</v>
      </c>
      <c r="Q468" t="s">
        <v>51</v>
      </c>
    </row>
    <row r="469" spans="1:17" ht="15">
      <c r="A469" t="s">
        <v>17</v>
      </c>
      <c r="B469" s="1">
        <v>43152</v>
      </c>
      <c r="C469" t="s">
        <v>111</v>
      </c>
      <c r="D469" t="str">
        <f>CONCATENATE("0070004986","")</f>
        <v>0070004986</v>
      </c>
      <c r="E469" t="str">
        <f>CONCATENATE("0030606003060       ","")</f>
        <v>0030606003060       </v>
      </c>
      <c r="F469" t="str">
        <f>CONCATENATE("1934115","")</f>
        <v>1934115</v>
      </c>
      <c r="G469" t="s">
        <v>909</v>
      </c>
      <c r="H469" t="s">
        <v>930</v>
      </c>
      <c r="I469" t="s">
        <v>931</v>
      </c>
      <c r="J469" t="str">
        <f t="shared" si="55"/>
        <v>080301</v>
      </c>
      <c r="K469" t="s">
        <v>22</v>
      </c>
      <c r="L469" t="s">
        <v>23</v>
      </c>
      <c r="M469" t="str">
        <f aca="true" t="shared" si="57" ref="M469:M476">CONCATENATE("1","")</f>
        <v>1</v>
      </c>
      <c r="O469" t="str">
        <f t="shared" si="56"/>
        <v>1 </v>
      </c>
      <c r="P469">
        <v>14.5</v>
      </c>
      <c r="Q469" t="s">
        <v>24</v>
      </c>
    </row>
    <row r="470" spans="1:17" ht="15">
      <c r="A470" t="s">
        <v>17</v>
      </c>
      <c r="B470" s="1">
        <v>43152</v>
      </c>
      <c r="C470" t="s">
        <v>111</v>
      </c>
      <c r="D470" t="str">
        <f>CONCATENATE("0070009781","")</f>
        <v>0070009781</v>
      </c>
      <c r="E470" t="str">
        <f>CONCATENATE("0030606003120       ","")</f>
        <v>0030606003120       </v>
      </c>
      <c r="F470" t="str">
        <f>CONCATENATE("606758240","")</f>
        <v>606758240</v>
      </c>
      <c r="G470" t="s">
        <v>909</v>
      </c>
      <c r="H470" t="s">
        <v>932</v>
      </c>
      <c r="I470" t="s">
        <v>916</v>
      </c>
      <c r="J470" t="str">
        <f t="shared" si="55"/>
        <v>080301</v>
      </c>
      <c r="K470" t="s">
        <v>22</v>
      </c>
      <c r="L470" t="s">
        <v>23</v>
      </c>
      <c r="M470" t="str">
        <f t="shared" si="57"/>
        <v>1</v>
      </c>
      <c r="O470" t="str">
        <f t="shared" si="56"/>
        <v>1 </v>
      </c>
      <c r="P470">
        <v>97.25</v>
      </c>
      <c r="Q470" t="s">
        <v>24</v>
      </c>
    </row>
    <row r="471" spans="1:17" ht="15">
      <c r="A471" t="s">
        <v>17</v>
      </c>
      <c r="B471" s="1">
        <v>43152</v>
      </c>
      <c r="C471" t="s">
        <v>111</v>
      </c>
      <c r="D471" t="str">
        <f>CONCATENATE("0070024559","")</f>
        <v>0070024559</v>
      </c>
      <c r="E471" t="str">
        <f>CONCATENATE("0030606003192       ","")</f>
        <v>0030606003192       </v>
      </c>
      <c r="F471" t="str">
        <f>CONCATENATE("606755989","")</f>
        <v>606755989</v>
      </c>
      <c r="G471" t="s">
        <v>909</v>
      </c>
      <c r="H471" t="s">
        <v>933</v>
      </c>
      <c r="I471" t="s">
        <v>934</v>
      </c>
      <c r="J471" t="str">
        <f t="shared" si="55"/>
        <v>080301</v>
      </c>
      <c r="K471" t="s">
        <v>22</v>
      </c>
      <c r="L471" t="s">
        <v>23</v>
      </c>
      <c r="M471" t="str">
        <f t="shared" si="57"/>
        <v>1</v>
      </c>
      <c r="O471" t="str">
        <f t="shared" si="56"/>
        <v>1 </v>
      </c>
      <c r="P471">
        <v>60.3</v>
      </c>
      <c r="Q471" t="s">
        <v>24</v>
      </c>
    </row>
    <row r="472" spans="1:17" ht="15">
      <c r="A472" t="s">
        <v>17</v>
      </c>
      <c r="B472" s="1">
        <v>43152</v>
      </c>
      <c r="C472" t="s">
        <v>111</v>
      </c>
      <c r="D472" t="str">
        <f>CONCATENATE("0070014444","")</f>
        <v>0070014444</v>
      </c>
      <c r="E472" t="str">
        <f>CONCATENATE("0030606003207       ","")</f>
        <v>0030606003207       </v>
      </c>
      <c r="F472" t="str">
        <f>CONCATENATE("606672514","")</f>
        <v>606672514</v>
      </c>
      <c r="G472" t="s">
        <v>909</v>
      </c>
      <c r="H472" t="s">
        <v>935</v>
      </c>
      <c r="I472" t="s">
        <v>936</v>
      </c>
      <c r="J472" t="str">
        <f t="shared" si="55"/>
        <v>080301</v>
      </c>
      <c r="K472" t="s">
        <v>22</v>
      </c>
      <c r="L472" t="s">
        <v>23</v>
      </c>
      <c r="M472" t="str">
        <f t="shared" si="57"/>
        <v>1</v>
      </c>
      <c r="O472" t="str">
        <f t="shared" si="56"/>
        <v>1 </v>
      </c>
      <c r="P472">
        <v>329.5</v>
      </c>
      <c r="Q472" t="s">
        <v>24</v>
      </c>
    </row>
    <row r="473" spans="1:17" ht="15">
      <c r="A473" t="s">
        <v>17</v>
      </c>
      <c r="B473" s="1">
        <v>43152</v>
      </c>
      <c r="C473" t="s">
        <v>111</v>
      </c>
      <c r="D473" t="str">
        <f>CONCATENATE("0070013472","")</f>
        <v>0070013472</v>
      </c>
      <c r="E473" t="str">
        <f>CONCATENATE("0030606003208       ","")</f>
        <v>0030606003208       </v>
      </c>
      <c r="F473" t="str">
        <f>CONCATENATE("606896835","")</f>
        <v>606896835</v>
      </c>
      <c r="G473" t="s">
        <v>909</v>
      </c>
      <c r="H473" t="s">
        <v>937</v>
      </c>
      <c r="I473" t="s">
        <v>938</v>
      </c>
      <c r="J473" t="str">
        <f t="shared" si="55"/>
        <v>080301</v>
      </c>
      <c r="K473" t="s">
        <v>22</v>
      </c>
      <c r="L473" t="s">
        <v>23</v>
      </c>
      <c r="M473" t="str">
        <f t="shared" si="57"/>
        <v>1</v>
      </c>
      <c r="O473" t="str">
        <f t="shared" si="56"/>
        <v>1 </v>
      </c>
      <c r="P473">
        <v>215.3</v>
      </c>
      <c r="Q473" t="s">
        <v>24</v>
      </c>
    </row>
    <row r="474" spans="1:17" ht="15">
      <c r="A474" t="s">
        <v>17</v>
      </c>
      <c r="B474" s="1">
        <v>43152</v>
      </c>
      <c r="C474" t="s">
        <v>111</v>
      </c>
      <c r="D474" t="str">
        <f>CONCATENATE("0070010327","")</f>
        <v>0070010327</v>
      </c>
      <c r="E474" t="str">
        <f>CONCATENATE("0030606004125       ","")</f>
        <v>0030606004125       </v>
      </c>
      <c r="F474" t="str">
        <f>CONCATENATE("605744956","")</f>
        <v>605744956</v>
      </c>
      <c r="G474" t="s">
        <v>909</v>
      </c>
      <c r="H474" t="s">
        <v>939</v>
      </c>
      <c r="I474" t="s">
        <v>940</v>
      </c>
      <c r="J474" t="str">
        <f t="shared" si="55"/>
        <v>080301</v>
      </c>
      <c r="K474" t="s">
        <v>22</v>
      </c>
      <c r="L474" t="s">
        <v>23</v>
      </c>
      <c r="M474" t="str">
        <f t="shared" si="57"/>
        <v>1</v>
      </c>
      <c r="O474" t="str">
        <f t="shared" si="56"/>
        <v>1 </v>
      </c>
      <c r="P474">
        <v>51.05</v>
      </c>
      <c r="Q474" t="s">
        <v>24</v>
      </c>
    </row>
    <row r="475" spans="1:17" ht="15">
      <c r="A475" t="s">
        <v>17</v>
      </c>
      <c r="B475" s="1">
        <v>43152</v>
      </c>
      <c r="C475" t="s">
        <v>111</v>
      </c>
      <c r="D475" t="str">
        <f>CONCATENATE("0070005013","")</f>
        <v>0070005013</v>
      </c>
      <c r="E475" t="str">
        <f>CONCATENATE("0030606005080       ","")</f>
        <v>0030606005080       </v>
      </c>
      <c r="F475" t="str">
        <f>CONCATENATE("607651214","")</f>
        <v>607651214</v>
      </c>
      <c r="G475" t="s">
        <v>927</v>
      </c>
      <c r="H475" t="s">
        <v>941</v>
      </c>
      <c r="I475" t="s">
        <v>924</v>
      </c>
      <c r="J475" t="str">
        <f t="shared" si="55"/>
        <v>080301</v>
      </c>
      <c r="K475" t="s">
        <v>22</v>
      </c>
      <c r="L475" t="s">
        <v>23</v>
      </c>
      <c r="M475" t="str">
        <f t="shared" si="57"/>
        <v>1</v>
      </c>
      <c r="O475" t="str">
        <f t="shared" si="56"/>
        <v>1 </v>
      </c>
      <c r="P475">
        <v>225.4</v>
      </c>
      <c r="Q475" t="s">
        <v>24</v>
      </c>
    </row>
    <row r="476" spans="1:17" ht="15">
      <c r="A476" t="s">
        <v>17</v>
      </c>
      <c r="B476" s="1">
        <v>43152</v>
      </c>
      <c r="C476" t="s">
        <v>111</v>
      </c>
      <c r="D476" t="str">
        <f>CONCATENATE("0070012921","")</f>
        <v>0070012921</v>
      </c>
      <c r="E476" t="str">
        <f>CONCATENATE("0030606005148       ","")</f>
        <v>0030606005148       </v>
      </c>
      <c r="F476" t="str">
        <f>CONCATENATE("605630423","")</f>
        <v>605630423</v>
      </c>
      <c r="G476" t="s">
        <v>927</v>
      </c>
      <c r="H476" t="s">
        <v>942</v>
      </c>
      <c r="I476" t="s">
        <v>943</v>
      </c>
      <c r="J476" t="str">
        <f t="shared" si="55"/>
        <v>080301</v>
      </c>
      <c r="K476" t="s">
        <v>22</v>
      </c>
      <c r="L476" t="s">
        <v>23</v>
      </c>
      <c r="M476" t="str">
        <f t="shared" si="57"/>
        <v>1</v>
      </c>
      <c r="O476" t="str">
        <f t="shared" si="56"/>
        <v>1 </v>
      </c>
      <c r="P476">
        <v>18.2</v>
      </c>
      <c r="Q476" t="s">
        <v>24</v>
      </c>
    </row>
    <row r="477" spans="1:17" ht="15">
      <c r="A477" t="s">
        <v>17</v>
      </c>
      <c r="B477" s="1">
        <v>43152</v>
      </c>
      <c r="C477" t="s">
        <v>111</v>
      </c>
      <c r="D477" t="str">
        <f>CONCATENATE("0070011029","")</f>
        <v>0070011029</v>
      </c>
      <c r="E477" t="str">
        <f>CONCATENATE("0030606006010       ","")</f>
        <v>0030606006010       </v>
      </c>
      <c r="F477" t="str">
        <f>CONCATENATE("607639287","")</f>
        <v>607639287</v>
      </c>
      <c r="G477" t="s">
        <v>909</v>
      </c>
      <c r="H477" t="s">
        <v>944</v>
      </c>
      <c r="I477" t="s">
        <v>797</v>
      </c>
      <c r="J477" t="str">
        <f t="shared" si="55"/>
        <v>080301</v>
      </c>
      <c r="K477" t="s">
        <v>22</v>
      </c>
      <c r="L477" t="s">
        <v>23</v>
      </c>
      <c r="M477" t="str">
        <f>CONCATENATE("3","")</f>
        <v>3</v>
      </c>
      <c r="O477" t="str">
        <f t="shared" si="56"/>
        <v>1 </v>
      </c>
      <c r="P477">
        <v>3502</v>
      </c>
      <c r="Q477" t="s">
        <v>51</v>
      </c>
    </row>
    <row r="478" spans="1:17" ht="15">
      <c r="A478" t="s">
        <v>17</v>
      </c>
      <c r="B478" s="1">
        <v>43152</v>
      </c>
      <c r="C478" t="s">
        <v>111</v>
      </c>
      <c r="D478" t="str">
        <f>CONCATENATE("0070014512","")</f>
        <v>0070014512</v>
      </c>
      <c r="E478" t="str">
        <f>CONCATENATE("0030606006020       ","")</f>
        <v>0030606006020       </v>
      </c>
      <c r="F478" t="str">
        <f>CONCATENATE("607639352","")</f>
        <v>607639352</v>
      </c>
      <c r="G478" t="s">
        <v>927</v>
      </c>
      <c r="H478" t="s">
        <v>945</v>
      </c>
      <c r="I478" t="s">
        <v>946</v>
      </c>
      <c r="J478" t="str">
        <f t="shared" si="55"/>
        <v>080301</v>
      </c>
      <c r="K478" t="s">
        <v>22</v>
      </c>
      <c r="L478" t="s">
        <v>23</v>
      </c>
      <c r="M478" t="str">
        <f>CONCATENATE("3","")</f>
        <v>3</v>
      </c>
      <c r="O478" t="str">
        <f t="shared" si="56"/>
        <v>1 </v>
      </c>
      <c r="P478">
        <v>3273.65</v>
      </c>
      <c r="Q478" t="s">
        <v>51</v>
      </c>
    </row>
    <row r="479" spans="1:17" ht="15">
      <c r="A479" t="s">
        <v>17</v>
      </c>
      <c r="B479" s="1">
        <v>43152</v>
      </c>
      <c r="C479" t="s">
        <v>111</v>
      </c>
      <c r="D479" t="str">
        <f>CONCATENATE("0070014683","")</f>
        <v>0070014683</v>
      </c>
      <c r="E479" t="str">
        <f>CONCATENATE("0030607000500       ","")</f>
        <v>0030607000500       </v>
      </c>
      <c r="F479" t="str">
        <f>CONCATENATE("606676104","")</f>
        <v>606676104</v>
      </c>
      <c r="G479" t="s">
        <v>947</v>
      </c>
      <c r="H479" t="s">
        <v>948</v>
      </c>
      <c r="I479" t="s">
        <v>949</v>
      </c>
      <c r="J479" t="str">
        <f t="shared" si="55"/>
        <v>080301</v>
      </c>
      <c r="K479" t="s">
        <v>22</v>
      </c>
      <c r="L479" t="s">
        <v>23</v>
      </c>
      <c r="M479" t="str">
        <f aca="true" t="shared" si="58" ref="M479:M485">CONCATENATE("1","")</f>
        <v>1</v>
      </c>
      <c r="O479" t="str">
        <f t="shared" si="56"/>
        <v>1 </v>
      </c>
      <c r="P479">
        <v>17.5</v>
      </c>
      <c r="Q479" t="s">
        <v>24</v>
      </c>
    </row>
    <row r="480" spans="1:17" ht="15">
      <c r="A480" t="s">
        <v>17</v>
      </c>
      <c r="B480" s="1">
        <v>43152</v>
      </c>
      <c r="C480" t="s">
        <v>111</v>
      </c>
      <c r="D480" t="str">
        <f>CONCATENATE("0070018341","")</f>
        <v>0070018341</v>
      </c>
      <c r="E480" t="str">
        <f>CONCATENATE("0030607000625       ","")</f>
        <v>0030607000625       </v>
      </c>
      <c r="F480" t="str">
        <f>CONCATENATE("605623425","")</f>
        <v>605623425</v>
      </c>
      <c r="G480" t="s">
        <v>947</v>
      </c>
      <c r="H480" t="s">
        <v>950</v>
      </c>
      <c r="I480" t="s">
        <v>951</v>
      </c>
      <c r="J480" t="str">
        <f t="shared" si="55"/>
        <v>080301</v>
      </c>
      <c r="K480" t="s">
        <v>22</v>
      </c>
      <c r="L480" t="s">
        <v>23</v>
      </c>
      <c r="M480" t="str">
        <f t="shared" si="58"/>
        <v>1</v>
      </c>
      <c r="O480" t="str">
        <f t="shared" si="56"/>
        <v>1 </v>
      </c>
      <c r="P480">
        <v>66.2</v>
      </c>
      <c r="Q480" t="s">
        <v>24</v>
      </c>
    </row>
    <row r="481" spans="1:17" ht="15">
      <c r="A481" t="s">
        <v>17</v>
      </c>
      <c r="B481" s="1">
        <v>43152</v>
      </c>
      <c r="C481" t="s">
        <v>111</v>
      </c>
      <c r="D481" t="str">
        <f>CONCATENATE("0070004549","")</f>
        <v>0070004549</v>
      </c>
      <c r="E481" t="str">
        <f>CONCATENATE("0030607001400       ","")</f>
        <v>0030607001400       </v>
      </c>
      <c r="F481" t="str">
        <f>CONCATENATE("00000007322","")</f>
        <v>00000007322</v>
      </c>
      <c r="G481" t="s">
        <v>947</v>
      </c>
      <c r="H481" t="s">
        <v>952</v>
      </c>
      <c r="I481" t="s">
        <v>953</v>
      </c>
      <c r="J481" t="str">
        <f aca="true" t="shared" si="59" ref="J481:J489">CONCATENATE("080301","")</f>
        <v>080301</v>
      </c>
      <c r="K481" t="s">
        <v>22</v>
      </c>
      <c r="L481" t="s">
        <v>23</v>
      </c>
      <c r="M481" t="str">
        <f t="shared" si="58"/>
        <v>1</v>
      </c>
      <c r="O481" t="str">
        <f t="shared" si="56"/>
        <v>1 </v>
      </c>
      <c r="P481">
        <v>78.9</v>
      </c>
      <c r="Q481" t="s">
        <v>24</v>
      </c>
    </row>
    <row r="482" spans="1:17" ht="15">
      <c r="A482" t="s">
        <v>17</v>
      </c>
      <c r="B482" s="1">
        <v>43152</v>
      </c>
      <c r="C482" t="s">
        <v>111</v>
      </c>
      <c r="D482" t="str">
        <f>CONCATENATE("0070022752","")</f>
        <v>0070022752</v>
      </c>
      <c r="E482" t="str">
        <f>CONCATENATE("0030607001402       ","")</f>
        <v>0030607001402       </v>
      </c>
      <c r="F482" t="str">
        <f>CONCATENATE("2015019918","")</f>
        <v>2015019918</v>
      </c>
      <c r="G482" t="s">
        <v>947</v>
      </c>
      <c r="H482" t="s">
        <v>954</v>
      </c>
      <c r="I482" t="s">
        <v>955</v>
      </c>
      <c r="J482" t="str">
        <f t="shared" si="59"/>
        <v>080301</v>
      </c>
      <c r="K482" t="s">
        <v>22</v>
      </c>
      <c r="L482" t="s">
        <v>23</v>
      </c>
      <c r="M482" t="str">
        <f t="shared" si="58"/>
        <v>1</v>
      </c>
      <c r="O482" t="str">
        <f t="shared" si="56"/>
        <v>1 </v>
      </c>
      <c r="P482">
        <v>58.35</v>
      </c>
      <c r="Q482" t="s">
        <v>24</v>
      </c>
    </row>
    <row r="483" spans="1:17" ht="15">
      <c r="A483" t="s">
        <v>17</v>
      </c>
      <c r="B483" s="1">
        <v>43152</v>
      </c>
      <c r="C483" t="s">
        <v>111</v>
      </c>
      <c r="D483" t="str">
        <f>CONCATENATE("0070021484","")</f>
        <v>0070021484</v>
      </c>
      <c r="E483" t="str">
        <f>CONCATENATE("0030607002061       ","")</f>
        <v>0030607002061       </v>
      </c>
      <c r="F483" t="str">
        <f>CONCATENATE("605274364","")</f>
        <v>605274364</v>
      </c>
      <c r="G483" t="s">
        <v>947</v>
      </c>
      <c r="H483" t="s">
        <v>956</v>
      </c>
      <c r="I483" t="s">
        <v>957</v>
      </c>
      <c r="J483" t="str">
        <f t="shared" si="59"/>
        <v>080301</v>
      </c>
      <c r="K483" t="s">
        <v>22</v>
      </c>
      <c r="L483" t="s">
        <v>23</v>
      </c>
      <c r="M483" t="str">
        <f t="shared" si="58"/>
        <v>1</v>
      </c>
      <c r="O483" t="str">
        <f t="shared" si="56"/>
        <v>1 </v>
      </c>
      <c r="P483">
        <v>422.65</v>
      </c>
      <c r="Q483" t="s">
        <v>24</v>
      </c>
    </row>
    <row r="484" spans="1:17" ht="15">
      <c r="A484" t="s">
        <v>17</v>
      </c>
      <c r="B484" s="1">
        <v>43152</v>
      </c>
      <c r="C484" t="s">
        <v>111</v>
      </c>
      <c r="D484" t="str">
        <f>CONCATENATE("0070004754","")</f>
        <v>0070004754</v>
      </c>
      <c r="E484" t="str">
        <f>CONCATENATE("0030607002200       ","")</f>
        <v>0030607002200       </v>
      </c>
      <c r="F484" t="str">
        <f>CONCATENATE("605618133","")</f>
        <v>605618133</v>
      </c>
      <c r="G484" t="s">
        <v>947</v>
      </c>
      <c r="H484" t="s">
        <v>958</v>
      </c>
      <c r="I484" t="s">
        <v>959</v>
      </c>
      <c r="J484" t="str">
        <f t="shared" si="59"/>
        <v>080301</v>
      </c>
      <c r="K484" t="s">
        <v>22</v>
      </c>
      <c r="L484" t="s">
        <v>23</v>
      </c>
      <c r="M484" t="str">
        <f t="shared" si="58"/>
        <v>1</v>
      </c>
      <c r="O484" t="str">
        <f t="shared" si="56"/>
        <v>1 </v>
      </c>
      <c r="P484">
        <v>49.55</v>
      </c>
      <c r="Q484" t="s">
        <v>24</v>
      </c>
    </row>
    <row r="485" spans="1:17" ht="15">
      <c r="A485" t="s">
        <v>17</v>
      </c>
      <c r="B485" s="1">
        <v>43152</v>
      </c>
      <c r="C485" t="s">
        <v>111</v>
      </c>
      <c r="D485" t="str">
        <f>CONCATENATE("0070023615","")</f>
        <v>0070023615</v>
      </c>
      <c r="E485" t="str">
        <f>CONCATENATE("0030607002499       ","")</f>
        <v>0030607002499       </v>
      </c>
      <c r="F485" t="str">
        <f>CONCATENATE("606677537","")</f>
        <v>606677537</v>
      </c>
      <c r="G485" t="s">
        <v>773</v>
      </c>
      <c r="H485" t="s">
        <v>960</v>
      </c>
      <c r="I485" t="s">
        <v>961</v>
      </c>
      <c r="J485" t="str">
        <f t="shared" si="59"/>
        <v>080301</v>
      </c>
      <c r="K485" t="s">
        <v>22</v>
      </c>
      <c r="L485" t="s">
        <v>23</v>
      </c>
      <c r="M485" t="str">
        <f t="shared" si="58"/>
        <v>1</v>
      </c>
      <c r="O485" t="str">
        <f t="shared" si="56"/>
        <v>1 </v>
      </c>
      <c r="P485">
        <v>144.55</v>
      </c>
      <c r="Q485" t="s">
        <v>24</v>
      </c>
    </row>
    <row r="486" spans="1:17" ht="15">
      <c r="A486" t="s">
        <v>17</v>
      </c>
      <c r="B486" s="1">
        <v>43152</v>
      </c>
      <c r="C486" t="s">
        <v>111</v>
      </c>
      <c r="D486" t="str">
        <f>CONCATENATE("0070023528","")</f>
        <v>0070023528</v>
      </c>
      <c r="E486" t="str">
        <f>CONCATENATE("0030607002649       ","")</f>
        <v>0030607002649       </v>
      </c>
      <c r="F486" t="str">
        <f>CONCATENATE("607428489","")</f>
        <v>607428489</v>
      </c>
      <c r="G486" t="s">
        <v>947</v>
      </c>
      <c r="H486" t="s">
        <v>944</v>
      </c>
      <c r="I486" t="s">
        <v>797</v>
      </c>
      <c r="J486" t="str">
        <f t="shared" si="59"/>
        <v>080301</v>
      </c>
      <c r="K486" t="s">
        <v>22</v>
      </c>
      <c r="L486" t="s">
        <v>23</v>
      </c>
      <c r="M486" t="str">
        <f>CONCATENATE("4","")</f>
        <v>4</v>
      </c>
      <c r="O486" t="str">
        <f t="shared" si="56"/>
        <v>1 </v>
      </c>
      <c r="P486">
        <v>56.25</v>
      </c>
      <c r="Q486" t="s">
        <v>51</v>
      </c>
    </row>
    <row r="487" spans="1:17" ht="15">
      <c r="A487" t="s">
        <v>17</v>
      </c>
      <c r="B487" s="1">
        <v>43152</v>
      </c>
      <c r="C487" t="s">
        <v>111</v>
      </c>
      <c r="D487" t="str">
        <f>CONCATENATE("0070018250","")</f>
        <v>0070018250</v>
      </c>
      <c r="E487" t="str">
        <f>CONCATENATE("0030607002775       ","")</f>
        <v>0030607002775       </v>
      </c>
      <c r="F487" t="str">
        <f>CONCATENATE("605623444","")</f>
        <v>605623444</v>
      </c>
      <c r="G487" t="s">
        <v>947</v>
      </c>
      <c r="H487" t="s">
        <v>962</v>
      </c>
      <c r="I487" t="s">
        <v>963</v>
      </c>
      <c r="J487" t="str">
        <f t="shared" si="59"/>
        <v>080301</v>
      </c>
      <c r="K487" t="s">
        <v>22</v>
      </c>
      <c r="L487" t="s">
        <v>23</v>
      </c>
      <c r="M487" t="str">
        <f>CONCATENATE("1","")</f>
        <v>1</v>
      </c>
      <c r="O487" t="str">
        <f t="shared" si="56"/>
        <v>1 </v>
      </c>
      <c r="P487">
        <v>19</v>
      </c>
      <c r="Q487" t="s">
        <v>24</v>
      </c>
    </row>
    <row r="488" spans="1:17" ht="15">
      <c r="A488" t="s">
        <v>17</v>
      </c>
      <c r="B488" s="1">
        <v>43152</v>
      </c>
      <c r="C488" t="s">
        <v>111</v>
      </c>
      <c r="D488" t="str">
        <f>CONCATENATE("0070020913","")</f>
        <v>0070020913</v>
      </c>
      <c r="E488" t="str">
        <f>CONCATENATE("0030608002143       ","")</f>
        <v>0030608002143       </v>
      </c>
      <c r="F488" t="str">
        <f>CONCATENATE("1674021","")</f>
        <v>1674021</v>
      </c>
      <c r="G488" t="s">
        <v>964</v>
      </c>
      <c r="H488" t="s">
        <v>965</v>
      </c>
      <c r="I488" t="s">
        <v>966</v>
      </c>
      <c r="J488" t="str">
        <f t="shared" si="59"/>
        <v>080301</v>
      </c>
      <c r="K488" t="s">
        <v>22</v>
      </c>
      <c r="L488" t="s">
        <v>23</v>
      </c>
      <c r="M488" t="str">
        <f>CONCATENATE("1","")</f>
        <v>1</v>
      </c>
      <c r="O488" t="str">
        <f t="shared" si="56"/>
        <v>1 </v>
      </c>
      <c r="P488">
        <v>20.9</v>
      </c>
      <c r="Q488" t="s">
        <v>24</v>
      </c>
    </row>
    <row r="489" spans="1:17" ht="15">
      <c r="A489" t="s">
        <v>17</v>
      </c>
      <c r="B489" s="1">
        <v>43152</v>
      </c>
      <c r="C489" t="s">
        <v>111</v>
      </c>
      <c r="D489" t="str">
        <f>CONCATENATE("0070009508","")</f>
        <v>0070009508</v>
      </c>
      <c r="E489" t="str">
        <f>CONCATENATE("0030608002360       ","")</f>
        <v>0030608002360       </v>
      </c>
      <c r="F489" t="str">
        <f>CONCATENATE("605232444","")</f>
        <v>605232444</v>
      </c>
      <c r="G489" t="s">
        <v>964</v>
      </c>
      <c r="H489" t="s">
        <v>967</v>
      </c>
      <c r="I489" t="s">
        <v>968</v>
      </c>
      <c r="J489" t="str">
        <f t="shared" si="59"/>
        <v>080301</v>
      </c>
      <c r="K489" t="s">
        <v>22</v>
      </c>
      <c r="L489" t="s">
        <v>23</v>
      </c>
      <c r="M489" t="str">
        <f>CONCATENATE("1","")</f>
        <v>1</v>
      </c>
      <c r="O489" t="str">
        <f t="shared" si="56"/>
        <v>1 </v>
      </c>
      <c r="P489">
        <v>88.15</v>
      </c>
      <c r="Q489" t="s">
        <v>24</v>
      </c>
    </row>
    <row r="490" spans="1:17" ht="15">
      <c r="A490" t="s">
        <v>17</v>
      </c>
      <c r="B490" s="1">
        <v>43152</v>
      </c>
      <c r="C490" t="s">
        <v>111</v>
      </c>
      <c r="D490" t="str">
        <f>CONCATENATE("0070027562","")</f>
        <v>0070027562</v>
      </c>
      <c r="E490" t="str">
        <f>CONCATENATE("0030608003081       ","")</f>
        <v>0030608003081       </v>
      </c>
      <c r="F490" t="str">
        <f>CONCATENATE("607415245","")</f>
        <v>607415245</v>
      </c>
      <c r="G490" t="s">
        <v>964</v>
      </c>
      <c r="H490" t="s">
        <v>969</v>
      </c>
      <c r="I490" t="s">
        <v>970</v>
      </c>
      <c r="J490" t="str">
        <f>CONCATENATE("080308","")</f>
        <v>080308</v>
      </c>
      <c r="K490" t="s">
        <v>22</v>
      </c>
      <c r="L490" t="s">
        <v>23</v>
      </c>
      <c r="M490" t="str">
        <f>CONCATENATE("3","")</f>
        <v>3</v>
      </c>
      <c r="O490" t="str">
        <f t="shared" si="56"/>
        <v>1 </v>
      </c>
      <c r="P490">
        <v>229.25</v>
      </c>
      <c r="Q490" t="s">
        <v>51</v>
      </c>
    </row>
    <row r="491" spans="1:17" ht="15">
      <c r="A491" t="s">
        <v>17</v>
      </c>
      <c r="B491" s="1">
        <v>43152</v>
      </c>
      <c r="C491" t="s">
        <v>111</v>
      </c>
      <c r="D491" t="str">
        <f>CONCATENATE("0070022399","")</f>
        <v>0070022399</v>
      </c>
      <c r="E491" t="str">
        <f>CONCATENATE("0030608003086       ","")</f>
        <v>0030608003086       </v>
      </c>
      <c r="F491" t="str">
        <f>CONCATENATE("1257431","")</f>
        <v>1257431</v>
      </c>
      <c r="G491" t="s">
        <v>971</v>
      </c>
      <c r="H491" t="s">
        <v>972</v>
      </c>
      <c r="I491" t="s">
        <v>973</v>
      </c>
      <c r="J491" t="str">
        <f aca="true" t="shared" si="60" ref="J491:J512">CONCATENATE("080301","")</f>
        <v>080301</v>
      </c>
      <c r="K491" t="s">
        <v>22</v>
      </c>
      <c r="L491" t="s">
        <v>23</v>
      </c>
      <c r="M491" t="str">
        <f>CONCATENATE("3","")</f>
        <v>3</v>
      </c>
      <c r="O491" t="str">
        <f>CONCATENATE("2 ","")</f>
        <v>2 </v>
      </c>
      <c r="P491">
        <v>47.25</v>
      </c>
      <c r="Q491" t="s">
        <v>51</v>
      </c>
    </row>
    <row r="492" spans="1:17" ht="15">
      <c r="A492" t="s">
        <v>17</v>
      </c>
      <c r="B492" s="1">
        <v>43152</v>
      </c>
      <c r="C492" t="s">
        <v>111</v>
      </c>
      <c r="D492" t="str">
        <f>CONCATENATE("0070014474","")</f>
        <v>0070014474</v>
      </c>
      <c r="E492" t="str">
        <f>CONCATENATE("0030608004000       ","")</f>
        <v>0030608004000       </v>
      </c>
      <c r="F492" t="str">
        <f>CONCATENATE("13013421","")</f>
        <v>13013421</v>
      </c>
      <c r="G492" t="s">
        <v>964</v>
      </c>
      <c r="H492" t="s">
        <v>945</v>
      </c>
      <c r="I492" t="s">
        <v>974</v>
      </c>
      <c r="J492" t="str">
        <f t="shared" si="60"/>
        <v>080301</v>
      </c>
      <c r="K492" t="s">
        <v>22</v>
      </c>
      <c r="L492" t="s">
        <v>23</v>
      </c>
      <c r="M492" t="str">
        <f>CONCATENATE("3","")</f>
        <v>3</v>
      </c>
      <c r="O492" t="str">
        <f>CONCATENATE("1 ","")</f>
        <v>1 </v>
      </c>
      <c r="P492">
        <v>458.2</v>
      </c>
      <c r="Q492" t="s">
        <v>51</v>
      </c>
    </row>
    <row r="493" spans="1:17" ht="15">
      <c r="A493" t="s">
        <v>17</v>
      </c>
      <c r="B493" s="1">
        <v>43152</v>
      </c>
      <c r="C493" t="s">
        <v>111</v>
      </c>
      <c r="D493" t="str">
        <f>CONCATENATE("0070023871","")</f>
        <v>0070023871</v>
      </c>
      <c r="E493" t="str">
        <f>CONCATENATE("0030609001780       ","")</f>
        <v>0030609001780       </v>
      </c>
      <c r="F493" t="str">
        <f>CONCATENATE("606666528","")</f>
        <v>606666528</v>
      </c>
      <c r="G493" t="s">
        <v>975</v>
      </c>
      <c r="H493" t="s">
        <v>976</v>
      </c>
      <c r="I493" t="s">
        <v>977</v>
      </c>
      <c r="J493" t="str">
        <f t="shared" si="60"/>
        <v>080301</v>
      </c>
      <c r="K493" t="s">
        <v>22</v>
      </c>
      <c r="L493" t="s">
        <v>23</v>
      </c>
      <c r="M493" t="str">
        <f>CONCATENATE("1","")</f>
        <v>1</v>
      </c>
      <c r="O493" t="str">
        <f>CONCATENATE("1 ","")</f>
        <v>1 </v>
      </c>
      <c r="P493">
        <v>172.65</v>
      </c>
      <c r="Q493" t="s">
        <v>24</v>
      </c>
    </row>
    <row r="494" spans="1:17" ht="15">
      <c r="A494" t="s">
        <v>17</v>
      </c>
      <c r="B494" s="1">
        <v>43152</v>
      </c>
      <c r="C494" t="s">
        <v>111</v>
      </c>
      <c r="D494" t="str">
        <f>CONCATENATE("0070011423","")</f>
        <v>0070011423</v>
      </c>
      <c r="E494" t="str">
        <f>CONCATENATE("0030609001859       ","")</f>
        <v>0030609001859       </v>
      </c>
      <c r="F494" t="str">
        <f>CONCATENATE("607640000","")</f>
        <v>607640000</v>
      </c>
      <c r="G494" t="s">
        <v>975</v>
      </c>
      <c r="H494" t="s">
        <v>978</v>
      </c>
      <c r="I494" t="s">
        <v>979</v>
      </c>
      <c r="J494" t="str">
        <f t="shared" si="60"/>
        <v>080301</v>
      </c>
      <c r="K494" t="s">
        <v>22</v>
      </c>
      <c r="L494" t="s">
        <v>23</v>
      </c>
      <c r="M494" t="str">
        <f>CONCATENATE("3","")</f>
        <v>3</v>
      </c>
      <c r="O494" t="str">
        <f>CONCATENATE("1 ","")</f>
        <v>1 </v>
      </c>
      <c r="P494">
        <v>1264.45</v>
      </c>
      <c r="Q494" t="s">
        <v>51</v>
      </c>
    </row>
    <row r="495" spans="1:17" ht="15">
      <c r="A495" t="s">
        <v>17</v>
      </c>
      <c r="B495" s="1">
        <v>43152</v>
      </c>
      <c r="C495" t="s">
        <v>111</v>
      </c>
      <c r="D495" t="str">
        <f>CONCATENATE("0070010409","")</f>
        <v>0070010409</v>
      </c>
      <c r="E495" t="str">
        <f>CONCATENATE("0030609001872       ","")</f>
        <v>0030609001872       </v>
      </c>
      <c r="F495" t="str">
        <f>CONCATENATE("605746636","")</f>
        <v>605746636</v>
      </c>
      <c r="G495" t="s">
        <v>975</v>
      </c>
      <c r="H495" t="s">
        <v>980</v>
      </c>
      <c r="I495" t="s">
        <v>981</v>
      </c>
      <c r="J495" t="str">
        <f t="shared" si="60"/>
        <v>080301</v>
      </c>
      <c r="K495" t="s">
        <v>22</v>
      </c>
      <c r="L495" t="s">
        <v>23</v>
      </c>
      <c r="M495" t="str">
        <f>CONCATENATE("1","")</f>
        <v>1</v>
      </c>
      <c r="O495" t="str">
        <f>CONCATENATE("1 ","")</f>
        <v>1 </v>
      </c>
      <c r="P495">
        <v>13.05</v>
      </c>
      <c r="Q495" t="s">
        <v>24</v>
      </c>
    </row>
    <row r="496" spans="1:17" ht="15">
      <c r="A496" t="s">
        <v>17</v>
      </c>
      <c r="B496" s="1">
        <v>43152</v>
      </c>
      <c r="C496" t="s">
        <v>111</v>
      </c>
      <c r="D496" t="str">
        <f>CONCATENATE("0070013606","")</f>
        <v>0070013606</v>
      </c>
      <c r="E496" t="str">
        <f>CONCATENATE("0030609001890       ","")</f>
        <v>0030609001890       </v>
      </c>
      <c r="F496" t="str">
        <f>CONCATENATE("0A500310521","")</f>
        <v>0A500310521</v>
      </c>
      <c r="G496" t="s">
        <v>975</v>
      </c>
      <c r="H496" t="s">
        <v>982</v>
      </c>
      <c r="I496" t="s">
        <v>983</v>
      </c>
      <c r="J496" t="str">
        <f t="shared" si="60"/>
        <v>080301</v>
      </c>
      <c r="K496" t="s">
        <v>22</v>
      </c>
      <c r="L496" t="s">
        <v>23</v>
      </c>
      <c r="M496" t="str">
        <f>CONCATENATE("1","")</f>
        <v>1</v>
      </c>
      <c r="O496" t="str">
        <f>CONCATENATE("1 ","")</f>
        <v>1 </v>
      </c>
      <c r="P496">
        <v>243.35</v>
      </c>
      <c r="Q496" t="s">
        <v>24</v>
      </c>
    </row>
    <row r="497" spans="1:17" ht="15">
      <c r="A497" t="s">
        <v>17</v>
      </c>
      <c r="B497" s="1">
        <v>43152</v>
      </c>
      <c r="C497" t="s">
        <v>111</v>
      </c>
      <c r="D497" t="str">
        <f>CONCATENATE("0070021740","")</f>
        <v>0070021740</v>
      </c>
      <c r="E497" t="str">
        <f>CONCATENATE("0030609001898       ","")</f>
        <v>0030609001898       </v>
      </c>
      <c r="F497" t="str">
        <f>CONCATENATE("1934136","")</f>
        <v>1934136</v>
      </c>
      <c r="G497" t="s">
        <v>975</v>
      </c>
      <c r="H497" t="s">
        <v>984</v>
      </c>
      <c r="I497" t="s">
        <v>985</v>
      </c>
      <c r="J497" t="str">
        <f t="shared" si="60"/>
        <v>080301</v>
      </c>
      <c r="K497" t="s">
        <v>22</v>
      </c>
      <c r="L497" t="s">
        <v>23</v>
      </c>
      <c r="M497" t="str">
        <f>CONCATENATE("1","")</f>
        <v>1</v>
      </c>
      <c r="O497" t="str">
        <f>CONCATENATE("2 ","")</f>
        <v>2 </v>
      </c>
      <c r="P497">
        <v>29.35</v>
      </c>
      <c r="Q497" t="s">
        <v>24</v>
      </c>
    </row>
    <row r="498" spans="1:17" ht="15">
      <c r="A498" t="s">
        <v>17</v>
      </c>
      <c r="B498" s="1">
        <v>43152</v>
      </c>
      <c r="C498" t="s">
        <v>111</v>
      </c>
      <c r="D498" t="str">
        <f>CONCATENATE("0070010288","")</f>
        <v>0070010288</v>
      </c>
      <c r="E498" t="str">
        <f>CONCATENATE("0030609001906       ","")</f>
        <v>0030609001906       </v>
      </c>
      <c r="F498" t="str">
        <f>CONCATENATE("606852148","")</f>
        <v>606852148</v>
      </c>
      <c r="G498" t="s">
        <v>975</v>
      </c>
      <c r="H498" t="s">
        <v>986</v>
      </c>
      <c r="I498" t="s">
        <v>987</v>
      </c>
      <c r="J498" t="str">
        <f t="shared" si="60"/>
        <v>080301</v>
      </c>
      <c r="K498" t="s">
        <v>22</v>
      </c>
      <c r="L498" t="s">
        <v>23</v>
      </c>
      <c r="M498" t="str">
        <f>CONCATENATE("1","")</f>
        <v>1</v>
      </c>
      <c r="O498" t="str">
        <f aca="true" t="shared" si="61" ref="O498:O509">CONCATENATE("1 ","")</f>
        <v>1 </v>
      </c>
      <c r="P498">
        <v>42.1</v>
      </c>
      <c r="Q498" t="s">
        <v>24</v>
      </c>
    </row>
    <row r="499" spans="1:17" ht="15">
      <c r="A499" t="s">
        <v>17</v>
      </c>
      <c r="B499" s="1">
        <v>43152</v>
      </c>
      <c r="C499" t="s">
        <v>111</v>
      </c>
      <c r="D499" t="str">
        <f>CONCATENATE("0070004517","")</f>
        <v>0070004517</v>
      </c>
      <c r="E499" t="str">
        <f>CONCATENATE("0030609001938       ","")</f>
        <v>0030609001938       </v>
      </c>
      <c r="F499" t="str">
        <f>CONCATENATE("606664325","")</f>
        <v>606664325</v>
      </c>
      <c r="G499" t="s">
        <v>975</v>
      </c>
      <c r="H499" t="s">
        <v>988</v>
      </c>
      <c r="I499" t="s">
        <v>989</v>
      </c>
      <c r="J499" t="str">
        <f t="shared" si="60"/>
        <v>080301</v>
      </c>
      <c r="K499" t="s">
        <v>22</v>
      </c>
      <c r="L499" t="s">
        <v>23</v>
      </c>
      <c r="M499" t="str">
        <f>CONCATENATE("1","")</f>
        <v>1</v>
      </c>
      <c r="O499" t="str">
        <f t="shared" si="61"/>
        <v>1 </v>
      </c>
      <c r="P499">
        <v>70.55</v>
      </c>
      <c r="Q499" t="s">
        <v>24</v>
      </c>
    </row>
    <row r="500" spans="1:17" ht="15">
      <c r="A500" t="s">
        <v>17</v>
      </c>
      <c r="B500" s="1">
        <v>43152</v>
      </c>
      <c r="C500" t="s">
        <v>111</v>
      </c>
      <c r="D500" t="str">
        <f>CONCATENATE("0070022352","")</f>
        <v>0070022352</v>
      </c>
      <c r="E500" t="str">
        <f>CONCATENATE("0030609001939       ","")</f>
        <v>0030609001939       </v>
      </c>
      <c r="F500" t="str">
        <f>CONCATENATE("607428392","")</f>
        <v>607428392</v>
      </c>
      <c r="G500" t="s">
        <v>975</v>
      </c>
      <c r="H500" t="s">
        <v>990</v>
      </c>
      <c r="I500" t="s">
        <v>991</v>
      </c>
      <c r="J500" t="str">
        <f t="shared" si="60"/>
        <v>080301</v>
      </c>
      <c r="K500" t="s">
        <v>22</v>
      </c>
      <c r="L500" t="s">
        <v>23</v>
      </c>
      <c r="M500" t="str">
        <f>CONCATENATE("4","")</f>
        <v>4</v>
      </c>
      <c r="O500" t="str">
        <f t="shared" si="61"/>
        <v>1 </v>
      </c>
      <c r="P500">
        <v>169</v>
      </c>
      <c r="Q500" t="s">
        <v>51</v>
      </c>
    </row>
    <row r="501" spans="1:17" ht="15">
      <c r="A501" t="s">
        <v>17</v>
      </c>
      <c r="B501" s="1">
        <v>43152</v>
      </c>
      <c r="C501" t="s">
        <v>111</v>
      </c>
      <c r="D501" t="str">
        <f>CONCATENATE("0070010301","")</f>
        <v>0070010301</v>
      </c>
      <c r="E501" t="str">
        <f>CONCATENATE("0030609001945       ","")</f>
        <v>0030609001945       </v>
      </c>
      <c r="F501" t="str">
        <f>CONCATENATE("606855071","")</f>
        <v>606855071</v>
      </c>
      <c r="G501" t="s">
        <v>975</v>
      </c>
      <c r="H501" t="s">
        <v>992</v>
      </c>
      <c r="I501" t="s">
        <v>993</v>
      </c>
      <c r="J501" t="str">
        <f t="shared" si="60"/>
        <v>080301</v>
      </c>
      <c r="K501" t="s">
        <v>22</v>
      </c>
      <c r="L501" t="s">
        <v>23</v>
      </c>
      <c r="M501" t="str">
        <f>CONCATENATE("1","")</f>
        <v>1</v>
      </c>
      <c r="O501" t="str">
        <f t="shared" si="61"/>
        <v>1 </v>
      </c>
      <c r="P501">
        <v>11.35</v>
      </c>
      <c r="Q501" t="s">
        <v>24</v>
      </c>
    </row>
    <row r="502" spans="1:17" ht="15">
      <c r="A502" t="s">
        <v>17</v>
      </c>
      <c r="B502" s="1">
        <v>43152</v>
      </c>
      <c r="C502" t="s">
        <v>111</v>
      </c>
      <c r="D502" t="str">
        <f>CONCATENATE("0070017208","")</f>
        <v>0070017208</v>
      </c>
      <c r="E502" t="str">
        <f>CONCATENATE("0030609001946       ","")</f>
        <v>0030609001946       </v>
      </c>
      <c r="F502" t="str">
        <f>CONCATENATE("606908136","")</f>
        <v>606908136</v>
      </c>
      <c r="G502" t="s">
        <v>975</v>
      </c>
      <c r="H502" t="s">
        <v>994</v>
      </c>
      <c r="I502" t="s">
        <v>995</v>
      </c>
      <c r="J502" t="str">
        <f t="shared" si="60"/>
        <v>080301</v>
      </c>
      <c r="K502" t="s">
        <v>22</v>
      </c>
      <c r="L502" t="s">
        <v>23</v>
      </c>
      <c r="M502" t="str">
        <f>CONCATENATE("1","")</f>
        <v>1</v>
      </c>
      <c r="O502" t="str">
        <f t="shared" si="61"/>
        <v>1 </v>
      </c>
      <c r="P502">
        <v>66.35</v>
      </c>
      <c r="Q502" t="s">
        <v>24</v>
      </c>
    </row>
    <row r="503" spans="1:17" ht="15">
      <c r="A503" t="s">
        <v>17</v>
      </c>
      <c r="B503" s="1">
        <v>43152</v>
      </c>
      <c r="C503" t="s">
        <v>111</v>
      </c>
      <c r="D503" t="str">
        <f>CONCATENATE("0070010304","")</f>
        <v>0070010304</v>
      </c>
      <c r="E503" t="str">
        <f>CONCATENATE("0030609001976       ","")</f>
        <v>0030609001976       </v>
      </c>
      <c r="F503" t="str">
        <f>CONCATENATE("606855065","")</f>
        <v>606855065</v>
      </c>
      <c r="G503" t="s">
        <v>975</v>
      </c>
      <c r="H503" t="s">
        <v>996</v>
      </c>
      <c r="I503" t="s">
        <v>997</v>
      </c>
      <c r="J503" t="str">
        <f t="shared" si="60"/>
        <v>080301</v>
      </c>
      <c r="K503" t="s">
        <v>22</v>
      </c>
      <c r="L503" t="s">
        <v>23</v>
      </c>
      <c r="M503" t="str">
        <f>CONCATENATE("1","")</f>
        <v>1</v>
      </c>
      <c r="O503" t="str">
        <f t="shared" si="61"/>
        <v>1 </v>
      </c>
      <c r="P503">
        <v>146.75</v>
      </c>
      <c r="Q503" t="s">
        <v>24</v>
      </c>
    </row>
    <row r="504" spans="1:17" ht="15">
      <c r="A504" t="s">
        <v>17</v>
      </c>
      <c r="B504" s="1">
        <v>43152</v>
      </c>
      <c r="C504" t="s">
        <v>111</v>
      </c>
      <c r="D504" t="str">
        <f>CONCATENATE("0070022702","")</f>
        <v>0070022702</v>
      </c>
      <c r="E504" t="str">
        <f>CONCATENATE("0030612000080       ","")</f>
        <v>0030612000080       </v>
      </c>
      <c r="F504" t="str">
        <f>CONCATENATE("507030035","")</f>
        <v>507030035</v>
      </c>
      <c r="G504" t="s">
        <v>998</v>
      </c>
      <c r="H504" t="s">
        <v>999</v>
      </c>
      <c r="I504" t="s">
        <v>1000</v>
      </c>
      <c r="J504" t="str">
        <f t="shared" si="60"/>
        <v>080301</v>
      </c>
      <c r="K504" t="s">
        <v>22</v>
      </c>
      <c r="L504" t="s">
        <v>23</v>
      </c>
      <c r="M504" t="str">
        <f>CONCATENATE("3","")</f>
        <v>3</v>
      </c>
      <c r="O504" t="str">
        <f t="shared" si="61"/>
        <v>1 </v>
      </c>
      <c r="P504">
        <v>47.05</v>
      </c>
      <c r="Q504" t="s">
        <v>51</v>
      </c>
    </row>
    <row r="505" spans="1:17" ht="15">
      <c r="A505" t="s">
        <v>17</v>
      </c>
      <c r="B505" s="1">
        <v>43152</v>
      </c>
      <c r="C505" t="s">
        <v>111</v>
      </c>
      <c r="D505" t="str">
        <f>CONCATENATE("0070024405","")</f>
        <v>0070024405</v>
      </c>
      <c r="E505" t="str">
        <f>CONCATENATE("0030612000555       ","")</f>
        <v>0030612000555       </v>
      </c>
      <c r="F505" t="str">
        <f>CONCATENATE("607642180","")</f>
        <v>607642180</v>
      </c>
      <c r="G505" t="s">
        <v>998</v>
      </c>
      <c r="H505" t="s">
        <v>1001</v>
      </c>
      <c r="I505" t="s">
        <v>1002</v>
      </c>
      <c r="J505" t="str">
        <f t="shared" si="60"/>
        <v>080301</v>
      </c>
      <c r="K505" t="s">
        <v>22</v>
      </c>
      <c r="L505" t="s">
        <v>23</v>
      </c>
      <c r="M505" t="str">
        <f>CONCATENATE("3","")</f>
        <v>3</v>
      </c>
      <c r="O505" t="str">
        <f t="shared" si="61"/>
        <v>1 </v>
      </c>
      <c r="P505">
        <v>53.05</v>
      </c>
      <c r="Q505" t="s">
        <v>51</v>
      </c>
    </row>
    <row r="506" spans="1:17" ht="15">
      <c r="A506" t="s">
        <v>17</v>
      </c>
      <c r="B506" s="1">
        <v>43152</v>
      </c>
      <c r="C506" t="s">
        <v>111</v>
      </c>
      <c r="D506" t="str">
        <f>CONCATENATE("0070020603","")</f>
        <v>0070020603</v>
      </c>
      <c r="E506" t="str">
        <f>CONCATENATE("0030612000670       ","")</f>
        <v>0030612000670       </v>
      </c>
      <c r="F506" t="str">
        <f>CONCATENATE("606036876","")</f>
        <v>606036876</v>
      </c>
      <c r="G506" t="s">
        <v>998</v>
      </c>
      <c r="H506" t="s">
        <v>1003</v>
      </c>
      <c r="I506" t="s">
        <v>1004</v>
      </c>
      <c r="J506" t="str">
        <f t="shared" si="60"/>
        <v>080301</v>
      </c>
      <c r="K506" t="s">
        <v>22</v>
      </c>
      <c r="L506" t="s">
        <v>23</v>
      </c>
      <c r="M506" t="str">
        <f>CONCATENATE("1","")</f>
        <v>1</v>
      </c>
      <c r="O506" t="str">
        <f t="shared" si="61"/>
        <v>1 </v>
      </c>
      <c r="P506">
        <v>161.1</v>
      </c>
      <c r="Q506" t="s">
        <v>24</v>
      </c>
    </row>
    <row r="507" spans="1:17" ht="15">
      <c r="A507" t="s">
        <v>17</v>
      </c>
      <c r="B507" s="1">
        <v>43152</v>
      </c>
      <c r="C507" t="s">
        <v>111</v>
      </c>
      <c r="D507" t="str">
        <f>CONCATENATE("0070025109","")</f>
        <v>0070025109</v>
      </c>
      <c r="E507" t="str">
        <f>CONCATENATE("0030614000570       ","")</f>
        <v>0030614000570       </v>
      </c>
      <c r="F507" t="str">
        <f>CONCATENATE("607430063","")</f>
        <v>607430063</v>
      </c>
      <c r="G507" t="s">
        <v>894</v>
      </c>
      <c r="H507" t="s">
        <v>117</v>
      </c>
      <c r="I507" t="s">
        <v>1005</v>
      </c>
      <c r="J507" t="str">
        <f t="shared" si="60"/>
        <v>080301</v>
      </c>
      <c r="K507" t="s">
        <v>22</v>
      </c>
      <c r="L507" t="s">
        <v>23</v>
      </c>
      <c r="M507" t="str">
        <f>CONCATENATE("3","")</f>
        <v>3</v>
      </c>
      <c r="O507" t="str">
        <f t="shared" si="61"/>
        <v>1 </v>
      </c>
      <c r="P507">
        <v>537.25</v>
      </c>
      <c r="Q507" t="s">
        <v>51</v>
      </c>
    </row>
    <row r="508" spans="1:17" ht="15">
      <c r="A508" t="s">
        <v>17</v>
      </c>
      <c r="B508" s="1">
        <v>43152</v>
      </c>
      <c r="C508" t="s">
        <v>111</v>
      </c>
      <c r="D508" t="str">
        <f>CONCATENATE("0070020421","")</f>
        <v>0070020421</v>
      </c>
      <c r="E508" t="str">
        <f>CONCATENATE("0030614000620       ","")</f>
        <v>0030614000620       </v>
      </c>
      <c r="F508" t="str">
        <f>CONCATENATE("606036427","")</f>
        <v>606036427</v>
      </c>
      <c r="G508" t="s">
        <v>894</v>
      </c>
      <c r="H508" t="s">
        <v>1006</v>
      </c>
      <c r="I508" t="s">
        <v>1007</v>
      </c>
      <c r="J508" t="str">
        <f t="shared" si="60"/>
        <v>080301</v>
      </c>
      <c r="K508" t="s">
        <v>22</v>
      </c>
      <c r="L508" t="s">
        <v>23</v>
      </c>
      <c r="M508" t="str">
        <f>CONCATENATE("1","")</f>
        <v>1</v>
      </c>
      <c r="O508" t="str">
        <f t="shared" si="61"/>
        <v>1 </v>
      </c>
      <c r="P508">
        <v>29.3</v>
      </c>
      <c r="Q508" t="s">
        <v>24</v>
      </c>
    </row>
    <row r="509" spans="1:17" ht="15">
      <c r="A509" t="s">
        <v>17</v>
      </c>
      <c r="B509" s="1">
        <v>43152</v>
      </c>
      <c r="C509" t="s">
        <v>111</v>
      </c>
      <c r="D509" t="str">
        <f>CONCATENATE("0070027629","")</f>
        <v>0070027629</v>
      </c>
      <c r="E509" t="str">
        <f>CONCATENATE("0030614000760       ","")</f>
        <v>0030614000760       </v>
      </c>
      <c r="F509" t="str">
        <f>CONCATENATE("607640835","")</f>
        <v>607640835</v>
      </c>
      <c r="G509" t="s">
        <v>894</v>
      </c>
      <c r="H509" t="s">
        <v>1008</v>
      </c>
      <c r="I509" t="s">
        <v>1009</v>
      </c>
      <c r="J509" t="str">
        <f t="shared" si="60"/>
        <v>080301</v>
      </c>
      <c r="K509" t="s">
        <v>22</v>
      </c>
      <c r="L509" t="s">
        <v>23</v>
      </c>
      <c r="M509" t="str">
        <f>CONCATENATE("3","")</f>
        <v>3</v>
      </c>
      <c r="O509" t="str">
        <f t="shared" si="61"/>
        <v>1 </v>
      </c>
      <c r="P509">
        <v>359.4</v>
      </c>
      <c r="Q509" t="s">
        <v>51</v>
      </c>
    </row>
    <row r="510" spans="1:17" ht="15">
      <c r="A510" t="s">
        <v>17</v>
      </c>
      <c r="B510" s="1">
        <v>43152</v>
      </c>
      <c r="C510" t="s">
        <v>111</v>
      </c>
      <c r="D510" t="str">
        <f>CONCATENATE("0070020214","")</f>
        <v>0070020214</v>
      </c>
      <c r="E510" t="str">
        <f>CONCATENATE("0030614001720       ","")</f>
        <v>0030614001720       </v>
      </c>
      <c r="F510" t="str">
        <f>CONCATENATE("605941151","")</f>
        <v>605941151</v>
      </c>
      <c r="G510" t="s">
        <v>894</v>
      </c>
      <c r="H510" t="s">
        <v>1010</v>
      </c>
      <c r="I510" t="s">
        <v>1011</v>
      </c>
      <c r="J510" t="str">
        <f t="shared" si="60"/>
        <v>080301</v>
      </c>
      <c r="K510" t="s">
        <v>22</v>
      </c>
      <c r="L510" t="s">
        <v>23</v>
      </c>
      <c r="M510" t="str">
        <f aca="true" t="shared" si="62" ref="M510:M533">CONCATENATE("1","")</f>
        <v>1</v>
      </c>
      <c r="O510" t="str">
        <f>CONCATENATE("4 ","")</f>
        <v>4 </v>
      </c>
      <c r="P510">
        <v>28.65</v>
      </c>
      <c r="Q510" t="s">
        <v>24</v>
      </c>
    </row>
    <row r="511" spans="1:17" ht="15">
      <c r="A511" t="s">
        <v>17</v>
      </c>
      <c r="B511" s="1">
        <v>43152</v>
      </c>
      <c r="C511" t="s">
        <v>111</v>
      </c>
      <c r="D511" t="str">
        <f>CONCATENATE("0070005197","")</f>
        <v>0070005197</v>
      </c>
      <c r="E511" t="str">
        <f>CONCATENATE("0030630000130       ","")</f>
        <v>0030630000130       </v>
      </c>
      <c r="F511" t="str">
        <f>CONCATENATE("606896909","")</f>
        <v>606896909</v>
      </c>
      <c r="G511" t="s">
        <v>1012</v>
      </c>
      <c r="H511" t="s">
        <v>1013</v>
      </c>
      <c r="I511" t="s">
        <v>1014</v>
      </c>
      <c r="J511" t="str">
        <f t="shared" si="60"/>
        <v>080301</v>
      </c>
      <c r="K511" t="s">
        <v>22</v>
      </c>
      <c r="L511" t="s">
        <v>23</v>
      </c>
      <c r="M511" t="str">
        <f t="shared" si="62"/>
        <v>1</v>
      </c>
      <c r="O511" t="str">
        <f>CONCATENATE("1 ","")</f>
        <v>1 </v>
      </c>
      <c r="P511">
        <v>13.55</v>
      </c>
      <c r="Q511" t="s">
        <v>24</v>
      </c>
    </row>
    <row r="512" spans="1:17" ht="15">
      <c r="A512" t="s">
        <v>17</v>
      </c>
      <c r="B512" s="1">
        <v>43152</v>
      </c>
      <c r="C512" t="s">
        <v>111</v>
      </c>
      <c r="D512" t="str">
        <f>CONCATENATE("0070005249","")</f>
        <v>0070005249</v>
      </c>
      <c r="E512" t="str">
        <f>CONCATENATE("0030630000600       ","")</f>
        <v>0030630000600       </v>
      </c>
      <c r="F512" t="str">
        <f>CONCATENATE("606896914","")</f>
        <v>606896914</v>
      </c>
      <c r="G512" t="s">
        <v>1015</v>
      </c>
      <c r="H512" t="s">
        <v>1016</v>
      </c>
      <c r="I512" t="s">
        <v>1014</v>
      </c>
      <c r="J512" t="str">
        <f t="shared" si="60"/>
        <v>080301</v>
      </c>
      <c r="K512" t="s">
        <v>22</v>
      </c>
      <c r="L512" t="s">
        <v>23</v>
      </c>
      <c r="M512" t="str">
        <f t="shared" si="62"/>
        <v>1</v>
      </c>
      <c r="O512" t="str">
        <f>CONCATENATE("1 ","")</f>
        <v>1 </v>
      </c>
      <c r="P512">
        <v>24.05</v>
      </c>
      <c r="Q512" t="s">
        <v>24</v>
      </c>
    </row>
    <row r="513" spans="1:17" ht="15">
      <c r="A513" t="s">
        <v>17</v>
      </c>
      <c r="B513" s="1">
        <v>43152</v>
      </c>
      <c r="C513" t="s">
        <v>100</v>
      </c>
      <c r="D513" t="str">
        <f>CONCATENATE("0070022972","")</f>
        <v>0070022972</v>
      </c>
      <c r="E513" t="str">
        <f>CONCATENATE("0030901000139       ","")</f>
        <v>0030901000139       </v>
      </c>
      <c r="F513" t="str">
        <f>CONCATENATE("2190394","")</f>
        <v>2190394</v>
      </c>
      <c r="G513" t="s">
        <v>1017</v>
      </c>
      <c r="H513" t="s">
        <v>1018</v>
      </c>
      <c r="I513" t="s">
        <v>1019</v>
      </c>
      <c r="J513" t="str">
        <f aca="true" t="shared" si="63" ref="J513:J528">CONCATENATE("080308","")</f>
        <v>080308</v>
      </c>
      <c r="K513" t="s">
        <v>22</v>
      </c>
      <c r="L513" t="s">
        <v>23</v>
      </c>
      <c r="M513" t="str">
        <f t="shared" si="62"/>
        <v>1</v>
      </c>
      <c r="O513" t="str">
        <f>CONCATENATE("1 ","")</f>
        <v>1 </v>
      </c>
      <c r="P513">
        <v>24.8</v>
      </c>
      <c r="Q513" t="s">
        <v>24</v>
      </c>
    </row>
    <row r="514" spans="1:17" ht="15">
      <c r="A514" t="s">
        <v>17</v>
      </c>
      <c r="B514" s="1">
        <v>43152</v>
      </c>
      <c r="C514" t="s">
        <v>100</v>
      </c>
      <c r="D514" t="str">
        <f>CONCATENATE("0070005286","")</f>
        <v>0070005286</v>
      </c>
      <c r="E514" t="str">
        <f>CONCATENATE("0030901000170       ","")</f>
        <v>0030901000170       </v>
      </c>
      <c r="F514" t="str">
        <f>CONCATENATE("606847142","")</f>
        <v>606847142</v>
      </c>
      <c r="G514" t="s">
        <v>1017</v>
      </c>
      <c r="H514" t="s">
        <v>1020</v>
      </c>
      <c r="I514" t="s">
        <v>1021</v>
      </c>
      <c r="J514" t="str">
        <f t="shared" si="63"/>
        <v>080308</v>
      </c>
      <c r="K514" t="s">
        <v>22</v>
      </c>
      <c r="L514" t="s">
        <v>23</v>
      </c>
      <c r="M514" t="str">
        <f t="shared" si="62"/>
        <v>1</v>
      </c>
      <c r="O514" t="str">
        <f>CONCATENATE("1 ","")</f>
        <v>1 </v>
      </c>
      <c r="P514">
        <v>133.1</v>
      </c>
      <c r="Q514" t="s">
        <v>24</v>
      </c>
    </row>
    <row r="515" spans="1:17" ht="15">
      <c r="A515" t="s">
        <v>17</v>
      </c>
      <c r="B515" s="1">
        <v>43152</v>
      </c>
      <c r="C515" t="s">
        <v>100</v>
      </c>
      <c r="D515" t="str">
        <f>CONCATENATE("0070016831","")</f>
        <v>0070016831</v>
      </c>
      <c r="E515" t="str">
        <f>CONCATENATE("0030901000211       ","")</f>
        <v>0030901000211       </v>
      </c>
      <c r="F515" t="str">
        <f>CONCATENATE("606907857","")</f>
        <v>606907857</v>
      </c>
      <c r="G515" t="s">
        <v>1017</v>
      </c>
      <c r="H515" t="s">
        <v>1022</v>
      </c>
      <c r="I515" t="s">
        <v>1023</v>
      </c>
      <c r="J515" t="str">
        <f t="shared" si="63"/>
        <v>080308</v>
      </c>
      <c r="K515" t="s">
        <v>22</v>
      </c>
      <c r="L515" t="s">
        <v>23</v>
      </c>
      <c r="M515" t="str">
        <f t="shared" si="62"/>
        <v>1</v>
      </c>
      <c r="O515" t="str">
        <f>CONCATENATE("2 ","")</f>
        <v>2 </v>
      </c>
      <c r="P515">
        <v>18</v>
      </c>
      <c r="Q515" t="s">
        <v>24</v>
      </c>
    </row>
    <row r="516" spans="1:17" ht="15">
      <c r="A516" t="s">
        <v>17</v>
      </c>
      <c r="B516" s="1">
        <v>43152</v>
      </c>
      <c r="C516" t="s">
        <v>100</v>
      </c>
      <c r="D516" t="str">
        <f>CONCATENATE("0070005298","")</f>
        <v>0070005298</v>
      </c>
      <c r="E516" t="str">
        <f>CONCATENATE("0030901000215       ","")</f>
        <v>0030901000215       </v>
      </c>
      <c r="F516" t="str">
        <f>CONCATENATE("1941200","")</f>
        <v>1941200</v>
      </c>
      <c r="G516" t="s">
        <v>1024</v>
      </c>
      <c r="H516" t="s">
        <v>1025</v>
      </c>
      <c r="I516" t="s">
        <v>1026</v>
      </c>
      <c r="J516" t="str">
        <f t="shared" si="63"/>
        <v>080308</v>
      </c>
      <c r="K516" t="s">
        <v>22</v>
      </c>
      <c r="L516" t="s">
        <v>23</v>
      </c>
      <c r="M516" t="str">
        <f t="shared" si="62"/>
        <v>1</v>
      </c>
      <c r="O516" t="str">
        <f>CONCATENATE("2 ","")</f>
        <v>2 </v>
      </c>
      <c r="P516">
        <v>18.15</v>
      </c>
      <c r="Q516" t="s">
        <v>24</v>
      </c>
    </row>
    <row r="517" spans="1:17" ht="15">
      <c r="A517" t="s">
        <v>17</v>
      </c>
      <c r="B517" s="1">
        <v>43152</v>
      </c>
      <c r="C517" t="s">
        <v>100</v>
      </c>
      <c r="D517" t="str">
        <f>CONCATENATE("0070017560","")</f>
        <v>0070017560</v>
      </c>
      <c r="E517" t="str">
        <f>CONCATENATE("0030901000253       ","")</f>
        <v>0030901000253       </v>
      </c>
      <c r="F517" t="str">
        <f>CONCATENATE("605622317","")</f>
        <v>605622317</v>
      </c>
      <c r="G517" t="s">
        <v>1017</v>
      </c>
      <c r="H517" t="s">
        <v>1027</v>
      </c>
      <c r="I517" t="s">
        <v>1028</v>
      </c>
      <c r="J517" t="str">
        <f t="shared" si="63"/>
        <v>080308</v>
      </c>
      <c r="K517" t="s">
        <v>22</v>
      </c>
      <c r="L517" t="s">
        <v>23</v>
      </c>
      <c r="M517" t="str">
        <f t="shared" si="62"/>
        <v>1</v>
      </c>
      <c r="O517" t="str">
        <f>CONCATENATE("1 ","")</f>
        <v>1 </v>
      </c>
      <c r="P517">
        <v>11.15</v>
      </c>
      <c r="Q517" t="s">
        <v>24</v>
      </c>
    </row>
    <row r="518" spans="1:17" ht="15">
      <c r="A518" t="s">
        <v>17</v>
      </c>
      <c r="B518" s="1">
        <v>43152</v>
      </c>
      <c r="C518" t="s">
        <v>100</v>
      </c>
      <c r="D518" t="str">
        <f>CONCATENATE("0070028396","")</f>
        <v>0070028396</v>
      </c>
      <c r="E518" t="str">
        <f>CONCATENATE("0030901000265       ","")</f>
        <v>0030901000265       </v>
      </c>
      <c r="F518" t="str">
        <f>CONCATENATE("607545616","")</f>
        <v>607545616</v>
      </c>
      <c r="G518" t="s">
        <v>1024</v>
      </c>
      <c r="H518" t="s">
        <v>1029</v>
      </c>
      <c r="I518" t="s">
        <v>1030</v>
      </c>
      <c r="J518" t="str">
        <f t="shared" si="63"/>
        <v>080308</v>
      </c>
      <c r="K518" t="s">
        <v>22</v>
      </c>
      <c r="L518" t="s">
        <v>23</v>
      </c>
      <c r="M518" t="str">
        <f t="shared" si="62"/>
        <v>1</v>
      </c>
      <c r="N518" t="str">
        <f>CONCATENATE("958367167","")</f>
        <v>958367167</v>
      </c>
      <c r="O518" t="str">
        <f>CONCATENATE("1 ","")</f>
        <v>1 </v>
      </c>
      <c r="P518">
        <v>26.95</v>
      </c>
      <c r="Q518" t="s">
        <v>24</v>
      </c>
    </row>
    <row r="519" spans="1:17" ht="15">
      <c r="A519" t="s">
        <v>17</v>
      </c>
      <c r="B519" s="1">
        <v>43152</v>
      </c>
      <c r="C519" t="s">
        <v>100</v>
      </c>
      <c r="D519" t="str">
        <f>CONCATENATE("0070027319","")</f>
        <v>0070027319</v>
      </c>
      <c r="E519" t="str">
        <f>CONCATENATE("0030901000267       ","")</f>
        <v>0030901000267       </v>
      </c>
      <c r="F519" t="str">
        <f>CONCATENATE("607292713","")</f>
        <v>607292713</v>
      </c>
      <c r="G519" t="s">
        <v>1024</v>
      </c>
      <c r="H519" t="s">
        <v>1031</v>
      </c>
      <c r="I519" t="s">
        <v>1032</v>
      </c>
      <c r="J519" t="str">
        <f t="shared" si="63"/>
        <v>080308</v>
      </c>
      <c r="K519" t="s">
        <v>22</v>
      </c>
      <c r="L519" t="s">
        <v>23</v>
      </c>
      <c r="M519" t="str">
        <f t="shared" si="62"/>
        <v>1</v>
      </c>
      <c r="O519" t="str">
        <f>CONCATENATE("2 ","")</f>
        <v>2 </v>
      </c>
      <c r="P519">
        <v>262.4</v>
      </c>
      <c r="Q519" t="s">
        <v>24</v>
      </c>
    </row>
    <row r="520" spans="1:17" ht="15">
      <c r="A520" t="s">
        <v>17</v>
      </c>
      <c r="B520" s="1">
        <v>43152</v>
      </c>
      <c r="C520" t="s">
        <v>100</v>
      </c>
      <c r="D520" t="str">
        <f>CONCATENATE("0070006349","")</f>
        <v>0070006349</v>
      </c>
      <c r="E520" t="str">
        <f>CONCATENATE("0030901000271       ","")</f>
        <v>0030901000271       </v>
      </c>
      <c r="F520" t="str">
        <f>CONCATENATE("605744092","")</f>
        <v>605744092</v>
      </c>
      <c r="G520" t="s">
        <v>1024</v>
      </c>
      <c r="H520" t="s">
        <v>1033</v>
      </c>
      <c r="I520" t="s">
        <v>100</v>
      </c>
      <c r="J520" t="str">
        <f t="shared" si="63"/>
        <v>080308</v>
      </c>
      <c r="K520" t="s">
        <v>22</v>
      </c>
      <c r="L520" t="s">
        <v>23</v>
      </c>
      <c r="M520" t="str">
        <f t="shared" si="62"/>
        <v>1</v>
      </c>
      <c r="O520" t="str">
        <f>CONCATENATE("2 ","")</f>
        <v>2 </v>
      </c>
      <c r="P520">
        <v>17.1</v>
      </c>
      <c r="Q520" t="s">
        <v>24</v>
      </c>
    </row>
    <row r="521" spans="1:17" ht="15">
      <c r="A521" t="s">
        <v>17</v>
      </c>
      <c r="B521" s="1">
        <v>43152</v>
      </c>
      <c r="C521" t="s">
        <v>100</v>
      </c>
      <c r="D521" t="str">
        <f>CONCATENATE("0070005329","")</f>
        <v>0070005329</v>
      </c>
      <c r="E521" t="str">
        <f>CONCATENATE("0030901000280       ","")</f>
        <v>0030901000280       </v>
      </c>
      <c r="F521" t="str">
        <f>CONCATENATE("605159210","")</f>
        <v>605159210</v>
      </c>
      <c r="G521" t="s">
        <v>1024</v>
      </c>
      <c r="H521" t="s">
        <v>1034</v>
      </c>
      <c r="I521" t="str">
        <f>CONCATENATE("28-DE-JULIO-27","")</f>
        <v>28-DE-JULIO-27</v>
      </c>
      <c r="J521" t="str">
        <f t="shared" si="63"/>
        <v>080308</v>
      </c>
      <c r="K521" t="s">
        <v>22</v>
      </c>
      <c r="L521" t="s">
        <v>23</v>
      </c>
      <c r="M521" t="str">
        <f t="shared" si="62"/>
        <v>1</v>
      </c>
      <c r="O521" t="str">
        <f>CONCATENATE("1 ","")</f>
        <v>1 </v>
      </c>
      <c r="P521">
        <v>70.9</v>
      </c>
      <c r="Q521" t="s">
        <v>24</v>
      </c>
    </row>
    <row r="522" spans="1:17" ht="15">
      <c r="A522" t="s">
        <v>17</v>
      </c>
      <c r="B522" s="1">
        <v>43152</v>
      </c>
      <c r="C522" t="s">
        <v>100</v>
      </c>
      <c r="D522" t="str">
        <f>CONCATENATE("0070021552","")</f>
        <v>0070021552</v>
      </c>
      <c r="E522" t="str">
        <f>CONCATENATE("0030901000296       ","")</f>
        <v>0030901000296       </v>
      </c>
      <c r="F522" t="str">
        <f>CONCATENATE("1863431","")</f>
        <v>1863431</v>
      </c>
      <c r="G522" t="s">
        <v>1024</v>
      </c>
      <c r="H522" t="s">
        <v>1035</v>
      </c>
      <c r="I522" t="s">
        <v>1036</v>
      </c>
      <c r="J522" t="str">
        <f t="shared" si="63"/>
        <v>080308</v>
      </c>
      <c r="K522" t="s">
        <v>22</v>
      </c>
      <c r="L522" t="s">
        <v>23</v>
      </c>
      <c r="M522" t="str">
        <f t="shared" si="62"/>
        <v>1</v>
      </c>
      <c r="O522" t="str">
        <f>CONCATENATE("2 ","")</f>
        <v>2 </v>
      </c>
      <c r="P522">
        <v>92.5</v>
      </c>
      <c r="Q522" t="s">
        <v>24</v>
      </c>
    </row>
    <row r="523" spans="1:17" ht="15">
      <c r="A523" t="s">
        <v>17</v>
      </c>
      <c r="B523" s="1">
        <v>43152</v>
      </c>
      <c r="C523" t="s">
        <v>100</v>
      </c>
      <c r="D523" t="str">
        <f>CONCATENATE("0070016887","")</f>
        <v>0070016887</v>
      </c>
      <c r="E523" t="str">
        <f>CONCATENATE("0030901000332       ","")</f>
        <v>0030901000332       </v>
      </c>
      <c r="F523" t="str">
        <f>CONCATENATE("605278817","")</f>
        <v>605278817</v>
      </c>
      <c r="G523" t="s">
        <v>1024</v>
      </c>
      <c r="H523" t="s">
        <v>1037</v>
      </c>
      <c r="I523" t="s">
        <v>1038</v>
      </c>
      <c r="J523" t="str">
        <f t="shared" si="63"/>
        <v>080308</v>
      </c>
      <c r="K523" t="s">
        <v>22</v>
      </c>
      <c r="L523" t="s">
        <v>23</v>
      </c>
      <c r="M523" t="str">
        <f t="shared" si="62"/>
        <v>1</v>
      </c>
      <c r="O523" t="str">
        <f>CONCATENATE("2 ","")</f>
        <v>2 </v>
      </c>
      <c r="P523">
        <v>58.45</v>
      </c>
      <c r="Q523" t="s">
        <v>24</v>
      </c>
    </row>
    <row r="524" spans="1:17" ht="15">
      <c r="A524" t="s">
        <v>17</v>
      </c>
      <c r="B524" s="1">
        <v>43152</v>
      </c>
      <c r="C524" t="s">
        <v>100</v>
      </c>
      <c r="D524" t="str">
        <f>CONCATENATE("0070014080","")</f>
        <v>0070014080</v>
      </c>
      <c r="E524" t="str">
        <f>CONCATENATE("0030901000337       ","")</f>
        <v>0030901000337       </v>
      </c>
      <c r="F524" t="str">
        <f>CONCATENATE("1811250","")</f>
        <v>1811250</v>
      </c>
      <c r="G524" t="s">
        <v>1024</v>
      </c>
      <c r="H524" t="s">
        <v>1039</v>
      </c>
      <c r="I524" t="s">
        <v>1040</v>
      </c>
      <c r="J524" t="str">
        <f t="shared" si="63"/>
        <v>080308</v>
      </c>
      <c r="K524" t="s">
        <v>22</v>
      </c>
      <c r="L524" t="s">
        <v>23</v>
      </c>
      <c r="M524" t="str">
        <f t="shared" si="62"/>
        <v>1</v>
      </c>
      <c r="O524" t="str">
        <f aca="true" t="shared" si="64" ref="O524:O529">CONCATENATE("1 ","")</f>
        <v>1 </v>
      </c>
      <c r="P524">
        <v>20.25</v>
      </c>
      <c r="Q524" t="s">
        <v>24</v>
      </c>
    </row>
    <row r="525" spans="1:17" ht="15">
      <c r="A525" t="s">
        <v>17</v>
      </c>
      <c r="B525" s="1">
        <v>43152</v>
      </c>
      <c r="C525" t="s">
        <v>100</v>
      </c>
      <c r="D525" t="str">
        <f>CONCATENATE("0070005345","")</f>
        <v>0070005345</v>
      </c>
      <c r="E525" t="str">
        <f>CONCATENATE("0030901000360       ","")</f>
        <v>0030901000360       </v>
      </c>
      <c r="F525" t="str">
        <f>CONCATENATE("607295119","")</f>
        <v>607295119</v>
      </c>
      <c r="G525" t="s">
        <v>1017</v>
      </c>
      <c r="H525" t="s">
        <v>1041</v>
      </c>
      <c r="I525" t="s">
        <v>1042</v>
      </c>
      <c r="J525" t="str">
        <f t="shared" si="63"/>
        <v>080308</v>
      </c>
      <c r="K525" t="s">
        <v>22</v>
      </c>
      <c r="L525" t="s">
        <v>23</v>
      </c>
      <c r="M525" t="str">
        <f t="shared" si="62"/>
        <v>1</v>
      </c>
      <c r="O525" t="str">
        <f t="shared" si="64"/>
        <v>1 </v>
      </c>
      <c r="P525">
        <v>163.6</v>
      </c>
      <c r="Q525" t="s">
        <v>24</v>
      </c>
    </row>
    <row r="526" spans="1:17" ht="15">
      <c r="A526" t="s">
        <v>17</v>
      </c>
      <c r="B526" s="1">
        <v>43152</v>
      </c>
      <c r="C526" t="s">
        <v>100</v>
      </c>
      <c r="D526" t="str">
        <f>CONCATENATE("0070023765","")</f>
        <v>0070023765</v>
      </c>
      <c r="E526" t="str">
        <f>CONCATENATE("0030901000404       ","")</f>
        <v>0030901000404       </v>
      </c>
      <c r="F526" t="str">
        <f>CONCATENATE("606665444","")</f>
        <v>606665444</v>
      </c>
      <c r="G526" t="s">
        <v>1017</v>
      </c>
      <c r="H526" t="s">
        <v>1043</v>
      </c>
      <c r="I526" t="s">
        <v>1044</v>
      </c>
      <c r="J526" t="str">
        <f t="shared" si="63"/>
        <v>080308</v>
      </c>
      <c r="K526" t="s">
        <v>22</v>
      </c>
      <c r="L526" t="s">
        <v>23</v>
      </c>
      <c r="M526" t="str">
        <f t="shared" si="62"/>
        <v>1</v>
      </c>
      <c r="O526" t="str">
        <f t="shared" si="64"/>
        <v>1 </v>
      </c>
      <c r="P526">
        <v>80.4</v>
      </c>
      <c r="Q526" t="s">
        <v>24</v>
      </c>
    </row>
    <row r="527" spans="1:17" ht="15">
      <c r="A527" t="s">
        <v>17</v>
      </c>
      <c r="B527" s="1">
        <v>43152</v>
      </c>
      <c r="C527" t="s">
        <v>100</v>
      </c>
      <c r="D527" t="str">
        <f>CONCATENATE("0070005358","")</f>
        <v>0070005358</v>
      </c>
      <c r="E527" t="str">
        <f>CONCATENATE("0030901000408       ","")</f>
        <v>0030901000408       </v>
      </c>
      <c r="F527" t="str">
        <f>CONCATENATE("605744977","")</f>
        <v>605744977</v>
      </c>
      <c r="G527" t="s">
        <v>1017</v>
      </c>
      <c r="H527" t="s">
        <v>1045</v>
      </c>
      <c r="I527" t="s">
        <v>1046</v>
      </c>
      <c r="J527" t="str">
        <f t="shared" si="63"/>
        <v>080308</v>
      </c>
      <c r="K527" t="s">
        <v>22</v>
      </c>
      <c r="L527" t="s">
        <v>23</v>
      </c>
      <c r="M527" t="str">
        <f t="shared" si="62"/>
        <v>1</v>
      </c>
      <c r="O527" t="str">
        <f t="shared" si="64"/>
        <v>1 </v>
      </c>
      <c r="P527">
        <v>11.35</v>
      </c>
      <c r="Q527" t="s">
        <v>24</v>
      </c>
    </row>
    <row r="528" spans="1:17" ht="15">
      <c r="A528" t="s">
        <v>17</v>
      </c>
      <c r="B528" s="1">
        <v>43152</v>
      </c>
      <c r="C528" t="s">
        <v>100</v>
      </c>
      <c r="D528" t="str">
        <f>CONCATENATE("0070005360","")</f>
        <v>0070005360</v>
      </c>
      <c r="E528" t="str">
        <f>CONCATENATE("0030901000410       ","")</f>
        <v>0030901000410       </v>
      </c>
      <c r="F528" t="str">
        <f>CONCATENATE("606850254","")</f>
        <v>606850254</v>
      </c>
      <c r="G528" t="s">
        <v>1017</v>
      </c>
      <c r="H528" t="s">
        <v>1047</v>
      </c>
      <c r="I528" t="s">
        <v>1048</v>
      </c>
      <c r="J528" t="str">
        <f t="shared" si="63"/>
        <v>080308</v>
      </c>
      <c r="K528" t="s">
        <v>22</v>
      </c>
      <c r="L528" t="s">
        <v>23</v>
      </c>
      <c r="M528" t="str">
        <f t="shared" si="62"/>
        <v>1</v>
      </c>
      <c r="O528" t="str">
        <f t="shared" si="64"/>
        <v>1 </v>
      </c>
      <c r="P528">
        <v>34.55</v>
      </c>
      <c r="Q528" t="s">
        <v>24</v>
      </c>
    </row>
    <row r="529" spans="1:17" ht="15">
      <c r="A529" t="s">
        <v>17</v>
      </c>
      <c r="B529" s="1">
        <v>43152</v>
      </c>
      <c r="C529" t="s">
        <v>100</v>
      </c>
      <c r="D529" t="str">
        <f>CONCATENATE("0070025228","")</f>
        <v>0070025228</v>
      </c>
      <c r="E529" t="str">
        <f>CONCATENATE("0030901000417       ","")</f>
        <v>0030901000417       </v>
      </c>
      <c r="F529" t="str">
        <f>CONCATENATE("607450279","")</f>
        <v>607450279</v>
      </c>
      <c r="G529" t="s">
        <v>1024</v>
      </c>
      <c r="H529" t="s">
        <v>1049</v>
      </c>
      <c r="I529" t="s">
        <v>1050</v>
      </c>
      <c r="J529" t="str">
        <f>CONCATENATE("080301","")</f>
        <v>080301</v>
      </c>
      <c r="K529" t="s">
        <v>22</v>
      </c>
      <c r="L529" t="s">
        <v>23</v>
      </c>
      <c r="M529" t="str">
        <f t="shared" si="62"/>
        <v>1</v>
      </c>
      <c r="O529" t="str">
        <f t="shared" si="64"/>
        <v>1 </v>
      </c>
      <c r="P529">
        <v>12</v>
      </c>
      <c r="Q529" t="s">
        <v>24</v>
      </c>
    </row>
    <row r="530" spans="1:17" ht="15">
      <c r="A530" t="s">
        <v>17</v>
      </c>
      <c r="B530" s="1">
        <v>43152</v>
      </c>
      <c r="C530" t="s">
        <v>100</v>
      </c>
      <c r="D530" t="str">
        <f>CONCATENATE("0070019799","")</f>
        <v>0070019799</v>
      </c>
      <c r="E530" t="str">
        <f>CONCATENATE("0030901000458       ","")</f>
        <v>0030901000458       </v>
      </c>
      <c r="F530" t="str">
        <f>CONCATENATE("605936738","")</f>
        <v>605936738</v>
      </c>
      <c r="G530" t="s">
        <v>1024</v>
      </c>
      <c r="H530" t="s">
        <v>1051</v>
      </c>
      <c r="I530" t="s">
        <v>1052</v>
      </c>
      <c r="J530" t="str">
        <f aca="true" t="shared" si="65" ref="J530:J544">CONCATENATE("080308","")</f>
        <v>080308</v>
      </c>
      <c r="K530" t="s">
        <v>22</v>
      </c>
      <c r="L530" t="s">
        <v>23</v>
      </c>
      <c r="M530" t="str">
        <f t="shared" si="62"/>
        <v>1</v>
      </c>
      <c r="O530" t="str">
        <f>CONCATENATE("2 ","")</f>
        <v>2 </v>
      </c>
      <c r="P530">
        <v>100.95</v>
      </c>
      <c r="Q530" t="s">
        <v>24</v>
      </c>
    </row>
    <row r="531" spans="1:17" ht="15">
      <c r="A531" t="s">
        <v>17</v>
      </c>
      <c r="B531" s="1">
        <v>43152</v>
      </c>
      <c r="C531" t="s">
        <v>100</v>
      </c>
      <c r="D531" t="str">
        <f>CONCATENATE("0070005408","")</f>
        <v>0070005408</v>
      </c>
      <c r="E531" t="str">
        <f>CONCATENATE("0030901000560       ","")</f>
        <v>0030901000560       </v>
      </c>
      <c r="F531" t="str">
        <f>CONCATENATE("607295113","")</f>
        <v>607295113</v>
      </c>
      <c r="G531" t="s">
        <v>1017</v>
      </c>
      <c r="H531" t="s">
        <v>1053</v>
      </c>
      <c r="I531" t="s">
        <v>1054</v>
      </c>
      <c r="J531" t="str">
        <f t="shared" si="65"/>
        <v>080308</v>
      </c>
      <c r="K531" t="s">
        <v>22</v>
      </c>
      <c r="L531" t="s">
        <v>23</v>
      </c>
      <c r="M531" t="str">
        <f t="shared" si="62"/>
        <v>1</v>
      </c>
      <c r="O531" t="str">
        <f>CONCATENATE("1 ","")</f>
        <v>1 </v>
      </c>
      <c r="P531">
        <v>19.2</v>
      </c>
      <c r="Q531" t="s">
        <v>24</v>
      </c>
    </row>
    <row r="532" spans="1:17" ht="15">
      <c r="A532" t="s">
        <v>17</v>
      </c>
      <c r="B532" s="1">
        <v>43152</v>
      </c>
      <c r="C532" t="s">
        <v>100</v>
      </c>
      <c r="D532" t="str">
        <f>CONCATENATE("0070019041","")</f>
        <v>0070019041</v>
      </c>
      <c r="E532" t="str">
        <f>CONCATENATE("0030901000566       ","")</f>
        <v>0030901000566       </v>
      </c>
      <c r="F532" t="str">
        <f>CONCATENATE("605744106","")</f>
        <v>605744106</v>
      </c>
      <c r="G532" t="s">
        <v>1017</v>
      </c>
      <c r="H532" t="s">
        <v>1055</v>
      </c>
      <c r="I532" t="s">
        <v>1056</v>
      </c>
      <c r="J532" t="str">
        <f t="shared" si="65"/>
        <v>080308</v>
      </c>
      <c r="K532" t="s">
        <v>22</v>
      </c>
      <c r="L532" t="s">
        <v>23</v>
      </c>
      <c r="M532" t="str">
        <f t="shared" si="62"/>
        <v>1</v>
      </c>
      <c r="O532" t="str">
        <f>CONCATENATE("2 ","")</f>
        <v>2 </v>
      </c>
      <c r="P532">
        <v>189</v>
      </c>
      <c r="Q532" t="s">
        <v>24</v>
      </c>
    </row>
    <row r="533" spans="1:17" ht="15">
      <c r="A533" t="s">
        <v>17</v>
      </c>
      <c r="B533" s="1">
        <v>43152</v>
      </c>
      <c r="C533" t="s">
        <v>100</v>
      </c>
      <c r="D533" t="str">
        <f>CONCATENATE("0070023327","")</f>
        <v>0070023327</v>
      </c>
      <c r="E533" t="str">
        <f>CONCATENATE("0030901000718       ","")</f>
        <v>0030901000718       </v>
      </c>
      <c r="F533" t="str">
        <f>CONCATENATE("606595623","")</f>
        <v>606595623</v>
      </c>
      <c r="G533" t="s">
        <v>1017</v>
      </c>
      <c r="H533" t="s">
        <v>1057</v>
      </c>
      <c r="I533" t="s">
        <v>1058</v>
      </c>
      <c r="J533" t="str">
        <f t="shared" si="65"/>
        <v>080308</v>
      </c>
      <c r="K533" t="s">
        <v>22</v>
      </c>
      <c r="L533" t="s">
        <v>23</v>
      </c>
      <c r="M533" t="str">
        <f t="shared" si="62"/>
        <v>1</v>
      </c>
      <c r="O533" t="str">
        <f>CONCATENATE("1 ","")</f>
        <v>1 </v>
      </c>
      <c r="P533">
        <v>50.7</v>
      </c>
      <c r="Q533" t="s">
        <v>24</v>
      </c>
    </row>
    <row r="534" spans="1:17" ht="15">
      <c r="A534" t="s">
        <v>17</v>
      </c>
      <c r="B534" s="1">
        <v>43152</v>
      </c>
      <c r="C534" t="s">
        <v>100</v>
      </c>
      <c r="D534" t="str">
        <f>CONCATENATE("0070019391","")</f>
        <v>0070019391</v>
      </c>
      <c r="E534" t="str">
        <f>CONCATENATE("0030901000891       ","")</f>
        <v>0030901000891       </v>
      </c>
      <c r="F534" t="str">
        <f>CONCATENATE("507008390","")</f>
        <v>507008390</v>
      </c>
      <c r="G534" t="s">
        <v>1017</v>
      </c>
      <c r="H534" t="s">
        <v>1059</v>
      </c>
      <c r="I534" t="s">
        <v>1060</v>
      </c>
      <c r="J534" t="str">
        <f t="shared" si="65"/>
        <v>080308</v>
      </c>
      <c r="K534" t="s">
        <v>22</v>
      </c>
      <c r="L534" t="s">
        <v>23</v>
      </c>
      <c r="M534" t="str">
        <f>CONCATENATE("3","")</f>
        <v>3</v>
      </c>
      <c r="O534" t="str">
        <f>CONCATENATE("1 ","")</f>
        <v>1 </v>
      </c>
      <c r="P534">
        <v>28.95</v>
      </c>
      <c r="Q534" t="s">
        <v>51</v>
      </c>
    </row>
    <row r="535" spans="1:17" ht="15">
      <c r="A535" t="s">
        <v>17</v>
      </c>
      <c r="B535" s="1">
        <v>43152</v>
      </c>
      <c r="C535" t="s">
        <v>100</v>
      </c>
      <c r="D535" t="str">
        <f>CONCATENATE("0070011538","")</f>
        <v>0070011538</v>
      </c>
      <c r="E535" t="str">
        <f>CONCATENATE("0030901000908       ","")</f>
        <v>0030901000908       </v>
      </c>
      <c r="F535" t="str">
        <f>CONCATENATE("605771497","")</f>
        <v>605771497</v>
      </c>
      <c r="G535" t="s">
        <v>1024</v>
      </c>
      <c r="H535" t="s">
        <v>1061</v>
      </c>
      <c r="I535" t="s">
        <v>1062</v>
      </c>
      <c r="J535" t="str">
        <f t="shared" si="65"/>
        <v>080308</v>
      </c>
      <c r="K535" t="s">
        <v>22</v>
      </c>
      <c r="L535" t="s">
        <v>23</v>
      </c>
      <c r="M535" t="str">
        <f>CONCATENATE("1","")</f>
        <v>1</v>
      </c>
      <c r="O535" t="str">
        <f>CONCATENATE("2 ","")</f>
        <v>2 </v>
      </c>
      <c r="P535">
        <v>155.2</v>
      </c>
      <c r="Q535" t="s">
        <v>24</v>
      </c>
    </row>
    <row r="536" spans="1:17" ht="15">
      <c r="A536" t="s">
        <v>17</v>
      </c>
      <c r="B536" s="1">
        <v>43152</v>
      </c>
      <c r="C536" t="s">
        <v>100</v>
      </c>
      <c r="D536" t="str">
        <f>CONCATENATE("0070010196","")</f>
        <v>0070010196</v>
      </c>
      <c r="E536" t="str">
        <f>CONCATENATE("0030901000910       ","")</f>
        <v>0030901000910       </v>
      </c>
      <c r="F536" t="str">
        <f>CONCATENATE("605281511","")</f>
        <v>605281511</v>
      </c>
      <c r="G536" t="s">
        <v>1063</v>
      </c>
      <c r="H536" t="s">
        <v>1064</v>
      </c>
      <c r="I536" t="s">
        <v>100</v>
      </c>
      <c r="J536" t="str">
        <f t="shared" si="65"/>
        <v>080308</v>
      </c>
      <c r="K536" t="s">
        <v>22</v>
      </c>
      <c r="L536" t="s">
        <v>23</v>
      </c>
      <c r="M536" t="str">
        <f>CONCATENATE("1","")</f>
        <v>1</v>
      </c>
      <c r="O536" t="str">
        <f>CONCATENATE("1 ","")</f>
        <v>1 </v>
      </c>
      <c r="P536">
        <v>649.05</v>
      </c>
      <c r="Q536" t="s">
        <v>24</v>
      </c>
    </row>
    <row r="537" spans="1:17" ht="15">
      <c r="A537" t="s">
        <v>17</v>
      </c>
      <c r="B537" s="1">
        <v>43152</v>
      </c>
      <c r="C537" t="s">
        <v>100</v>
      </c>
      <c r="D537" t="str">
        <f>CONCATENATE("0070013459","")</f>
        <v>0070013459</v>
      </c>
      <c r="E537" t="str">
        <f>CONCATENATE("0030901000998       ","")</f>
        <v>0030901000998       </v>
      </c>
      <c r="F537" t="str">
        <f>CONCATENATE("606896109","")</f>
        <v>606896109</v>
      </c>
      <c r="G537" t="s">
        <v>1024</v>
      </c>
      <c r="H537" t="s">
        <v>1065</v>
      </c>
      <c r="I537" t="s">
        <v>1066</v>
      </c>
      <c r="J537" t="str">
        <f t="shared" si="65"/>
        <v>080308</v>
      </c>
      <c r="K537" t="s">
        <v>22</v>
      </c>
      <c r="L537" t="s">
        <v>23</v>
      </c>
      <c r="M537" t="str">
        <f>CONCATENATE("1","")</f>
        <v>1</v>
      </c>
      <c r="O537" t="str">
        <f>CONCATENATE("1 ","")</f>
        <v>1 </v>
      </c>
      <c r="P537">
        <v>93.65</v>
      </c>
      <c r="Q537" t="s">
        <v>24</v>
      </c>
    </row>
    <row r="538" spans="1:17" ht="15">
      <c r="A538" t="s">
        <v>17</v>
      </c>
      <c r="B538" s="1">
        <v>43152</v>
      </c>
      <c r="C538" t="s">
        <v>100</v>
      </c>
      <c r="D538" t="str">
        <f>CONCATENATE("0070005438","")</f>
        <v>0070005438</v>
      </c>
      <c r="E538" t="str">
        <f>CONCATENATE("0030901001015       ","")</f>
        <v>0030901001015       </v>
      </c>
      <c r="F538" t="str">
        <f>CONCATENATE("1811242","")</f>
        <v>1811242</v>
      </c>
      <c r="G538" t="s">
        <v>1024</v>
      </c>
      <c r="H538" t="s">
        <v>1067</v>
      </c>
      <c r="I538" t="s">
        <v>100</v>
      </c>
      <c r="J538" t="str">
        <f t="shared" si="65"/>
        <v>080308</v>
      </c>
      <c r="K538" t="s">
        <v>22</v>
      </c>
      <c r="L538" t="s">
        <v>23</v>
      </c>
      <c r="M538" t="str">
        <f>CONCATENATE("1","")</f>
        <v>1</v>
      </c>
      <c r="O538" t="str">
        <f>CONCATENATE("1 ","")</f>
        <v>1 </v>
      </c>
      <c r="P538">
        <v>268.3</v>
      </c>
      <c r="Q538" t="s">
        <v>24</v>
      </c>
    </row>
    <row r="539" spans="1:17" ht="15">
      <c r="A539" t="s">
        <v>17</v>
      </c>
      <c r="B539" s="1">
        <v>43152</v>
      </c>
      <c r="C539" t="s">
        <v>100</v>
      </c>
      <c r="D539" t="str">
        <f>CONCATENATE("0070024551","")</f>
        <v>0070024551</v>
      </c>
      <c r="E539" t="str">
        <f>CONCATENATE("0030902000014       ","")</f>
        <v>0030902000014       </v>
      </c>
      <c r="F539" t="str">
        <f>CONCATENATE("606747438","")</f>
        <v>606747438</v>
      </c>
      <c r="G539" t="s">
        <v>1063</v>
      </c>
      <c r="H539" t="s">
        <v>1068</v>
      </c>
      <c r="I539" t="s">
        <v>103</v>
      </c>
      <c r="J539" t="str">
        <f t="shared" si="65"/>
        <v>080308</v>
      </c>
      <c r="K539" t="s">
        <v>22</v>
      </c>
      <c r="L539" t="s">
        <v>23</v>
      </c>
      <c r="M539" t="str">
        <f>CONCATENATE("1","")</f>
        <v>1</v>
      </c>
      <c r="O539" t="str">
        <f>CONCATENATE("2 ","")</f>
        <v>2 </v>
      </c>
      <c r="P539">
        <v>47.6</v>
      </c>
      <c r="Q539" t="s">
        <v>24</v>
      </c>
    </row>
    <row r="540" spans="1:17" ht="15">
      <c r="A540" t="s">
        <v>17</v>
      </c>
      <c r="B540" s="1">
        <v>43152</v>
      </c>
      <c r="C540" t="s">
        <v>100</v>
      </c>
      <c r="D540" t="str">
        <f>CONCATENATE("0070025194","")</f>
        <v>0070025194</v>
      </c>
      <c r="E540" t="str">
        <f>CONCATENATE("0030902000495       ","")</f>
        <v>0030902000495       </v>
      </c>
      <c r="F540" t="str">
        <f>CONCATENATE("607430388","")</f>
        <v>607430388</v>
      </c>
      <c r="G540" t="s">
        <v>1063</v>
      </c>
      <c r="H540" t="s">
        <v>1069</v>
      </c>
      <c r="I540" t="s">
        <v>1070</v>
      </c>
      <c r="J540" t="str">
        <f t="shared" si="65"/>
        <v>080308</v>
      </c>
      <c r="K540" t="s">
        <v>22</v>
      </c>
      <c r="L540" t="s">
        <v>23</v>
      </c>
      <c r="M540" t="str">
        <f>CONCATENATE("4","")</f>
        <v>4</v>
      </c>
      <c r="O540" t="str">
        <f>CONCATENATE("2 ","")</f>
        <v>2 </v>
      </c>
      <c r="P540">
        <v>845.25</v>
      </c>
      <c r="Q540" t="s">
        <v>51</v>
      </c>
    </row>
    <row r="541" spans="1:17" ht="15">
      <c r="A541" t="s">
        <v>17</v>
      </c>
      <c r="B541" s="1">
        <v>43152</v>
      </c>
      <c r="C541" t="s">
        <v>100</v>
      </c>
      <c r="D541" t="str">
        <f>CONCATENATE("0070019672","")</f>
        <v>0070019672</v>
      </c>
      <c r="E541" t="str">
        <f>CONCATENATE("0030902000650       ","")</f>
        <v>0030902000650       </v>
      </c>
      <c r="F541" t="str">
        <f>CONCATENATE("605933907","")</f>
        <v>605933907</v>
      </c>
      <c r="G541" t="s">
        <v>1063</v>
      </c>
      <c r="H541" t="s">
        <v>1071</v>
      </c>
      <c r="I541" t="s">
        <v>1072</v>
      </c>
      <c r="J541" t="str">
        <f t="shared" si="65"/>
        <v>080308</v>
      </c>
      <c r="K541" t="s">
        <v>22</v>
      </c>
      <c r="L541" t="s">
        <v>23</v>
      </c>
      <c r="M541" t="str">
        <f aca="true" t="shared" si="66" ref="M541:M557">CONCATENATE("1","")</f>
        <v>1</v>
      </c>
      <c r="O541" t="str">
        <f>CONCATENATE("3 ","")</f>
        <v>3 </v>
      </c>
      <c r="P541">
        <v>24.15</v>
      </c>
      <c r="Q541" t="s">
        <v>24</v>
      </c>
    </row>
    <row r="542" spans="1:17" ht="15">
      <c r="A542" t="s">
        <v>17</v>
      </c>
      <c r="B542" s="1">
        <v>43152</v>
      </c>
      <c r="C542" t="s">
        <v>100</v>
      </c>
      <c r="D542" t="str">
        <f>CONCATENATE("0070027191","")</f>
        <v>0070027191</v>
      </c>
      <c r="E542" t="str">
        <f>CONCATENATE("0030902003500       ","")</f>
        <v>0030902003500       </v>
      </c>
      <c r="F542" t="str">
        <f>CONCATENATE("607298113","")</f>
        <v>607298113</v>
      </c>
      <c r="G542" t="s">
        <v>1024</v>
      </c>
      <c r="H542" t="s">
        <v>1073</v>
      </c>
      <c r="I542" t="s">
        <v>1074</v>
      </c>
      <c r="J542" t="str">
        <f t="shared" si="65"/>
        <v>080308</v>
      </c>
      <c r="K542" t="s">
        <v>22</v>
      </c>
      <c r="L542" t="s">
        <v>23</v>
      </c>
      <c r="M542" t="str">
        <f t="shared" si="66"/>
        <v>1</v>
      </c>
      <c r="O542" t="str">
        <f>CONCATENATE("1 ","")</f>
        <v>1 </v>
      </c>
      <c r="P542">
        <v>91.35</v>
      </c>
      <c r="Q542" t="s">
        <v>24</v>
      </c>
    </row>
    <row r="543" spans="1:17" ht="15">
      <c r="A543" t="s">
        <v>17</v>
      </c>
      <c r="B543" s="1">
        <v>43152</v>
      </c>
      <c r="C543" t="s">
        <v>100</v>
      </c>
      <c r="D543" t="str">
        <f>CONCATENATE("0070016088","")</f>
        <v>0070016088</v>
      </c>
      <c r="E543" t="str">
        <f>CONCATENATE("0030905000200       ","")</f>
        <v>0030905000200       </v>
      </c>
      <c r="F543" t="str">
        <f>CONCATENATE("1428067","")</f>
        <v>1428067</v>
      </c>
      <c r="G543" t="s">
        <v>1075</v>
      </c>
      <c r="H543" t="s">
        <v>1076</v>
      </c>
      <c r="I543" t="s">
        <v>1077</v>
      </c>
      <c r="J543" t="str">
        <f t="shared" si="65"/>
        <v>080308</v>
      </c>
      <c r="K543" t="s">
        <v>22</v>
      </c>
      <c r="L543" t="s">
        <v>23</v>
      </c>
      <c r="M543" t="str">
        <f t="shared" si="66"/>
        <v>1</v>
      </c>
      <c r="O543" t="str">
        <f>CONCATENATE("1 ","")</f>
        <v>1 </v>
      </c>
      <c r="P543">
        <v>19.25</v>
      </c>
      <c r="Q543" t="s">
        <v>24</v>
      </c>
    </row>
    <row r="544" spans="1:17" ht="15">
      <c r="A544" t="s">
        <v>17</v>
      </c>
      <c r="B544" s="1">
        <v>43152</v>
      </c>
      <c r="C544" t="s">
        <v>100</v>
      </c>
      <c r="D544" t="str">
        <f>CONCATENATE("0070016630","")</f>
        <v>0070016630</v>
      </c>
      <c r="E544" t="str">
        <f>CONCATENATE("0030906000150       ","")</f>
        <v>0030906000150       </v>
      </c>
      <c r="F544" t="str">
        <f>CONCATENATE("605221503","")</f>
        <v>605221503</v>
      </c>
      <c r="G544" t="s">
        <v>1078</v>
      </c>
      <c r="H544" t="s">
        <v>1079</v>
      </c>
      <c r="I544" t="s">
        <v>1080</v>
      </c>
      <c r="J544" t="str">
        <f t="shared" si="65"/>
        <v>080308</v>
      </c>
      <c r="K544" t="s">
        <v>22</v>
      </c>
      <c r="L544" t="s">
        <v>23</v>
      </c>
      <c r="M544" t="str">
        <f t="shared" si="66"/>
        <v>1</v>
      </c>
      <c r="O544" t="str">
        <f>CONCATENATE("1 ","")</f>
        <v>1 </v>
      </c>
      <c r="P544">
        <v>19</v>
      </c>
      <c r="Q544" t="s">
        <v>24</v>
      </c>
    </row>
    <row r="545" spans="1:17" ht="15">
      <c r="A545" t="s">
        <v>17</v>
      </c>
      <c r="B545" s="1">
        <v>43152</v>
      </c>
      <c r="C545" t="s">
        <v>100</v>
      </c>
      <c r="D545" t="str">
        <f>CONCATENATE("0070021644","")</f>
        <v>0070021644</v>
      </c>
      <c r="E545" t="str">
        <f>CONCATENATE("0030921000155       ","")</f>
        <v>0030921000155       </v>
      </c>
      <c r="F545" t="str">
        <f>CONCATENATE("1941377","")</f>
        <v>1941377</v>
      </c>
      <c r="G545" t="s">
        <v>1081</v>
      </c>
      <c r="H545" t="s">
        <v>1082</v>
      </c>
      <c r="I545" t="s">
        <v>1083</v>
      </c>
      <c r="J545" t="str">
        <f aca="true" t="shared" si="67" ref="J545:J559">CONCATENATE("080301","")</f>
        <v>080301</v>
      </c>
      <c r="K545" t="s">
        <v>22</v>
      </c>
      <c r="L545" t="s">
        <v>23</v>
      </c>
      <c r="M545" t="str">
        <f t="shared" si="66"/>
        <v>1</v>
      </c>
      <c r="O545" t="str">
        <f>CONCATENATE("2 ","")</f>
        <v>2 </v>
      </c>
      <c r="P545">
        <v>31.8</v>
      </c>
      <c r="Q545" t="s">
        <v>24</v>
      </c>
    </row>
    <row r="546" spans="1:17" ht="15">
      <c r="A546" t="s">
        <v>17</v>
      </c>
      <c r="B546" s="1">
        <v>43152</v>
      </c>
      <c r="C546" t="s">
        <v>100</v>
      </c>
      <c r="D546" t="str">
        <f>CONCATENATE("0070005468","")</f>
        <v>0070005468</v>
      </c>
      <c r="E546" t="str">
        <f>CONCATENATE("0030921000181       ","")</f>
        <v>0030921000181       </v>
      </c>
      <c r="F546" t="str">
        <f>CONCATENATE("606756191","")</f>
        <v>606756191</v>
      </c>
      <c r="G546" t="s">
        <v>1081</v>
      </c>
      <c r="H546" t="s">
        <v>1084</v>
      </c>
      <c r="I546" t="s">
        <v>1085</v>
      </c>
      <c r="J546" t="str">
        <f t="shared" si="67"/>
        <v>080301</v>
      </c>
      <c r="K546" t="s">
        <v>22</v>
      </c>
      <c r="L546" t="s">
        <v>23</v>
      </c>
      <c r="M546" t="str">
        <f t="shared" si="66"/>
        <v>1</v>
      </c>
      <c r="O546" t="str">
        <f>CONCATENATE("1 ","")</f>
        <v>1 </v>
      </c>
      <c r="P546">
        <v>129.8</v>
      </c>
      <c r="Q546" t="s">
        <v>24</v>
      </c>
    </row>
    <row r="547" spans="1:17" ht="15">
      <c r="A547" t="s">
        <v>17</v>
      </c>
      <c r="B547" s="1">
        <v>43152</v>
      </c>
      <c r="C547" t="s">
        <v>100</v>
      </c>
      <c r="D547" t="str">
        <f>CONCATENATE("0070005469","")</f>
        <v>0070005469</v>
      </c>
      <c r="E547" t="str">
        <f>CONCATENATE("0030921000185       ","")</f>
        <v>0030921000185       </v>
      </c>
      <c r="F547" t="str">
        <f>CONCATENATE("2122027","")</f>
        <v>2122027</v>
      </c>
      <c r="G547" t="s">
        <v>1081</v>
      </c>
      <c r="H547" t="s">
        <v>1086</v>
      </c>
      <c r="I547" t="s">
        <v>1087</v>
      </c>
      <c r="J547" t="str">
        <f t="shared" si="67"/>
        <v>080301</v>
      </c>
      <c r="K547" t="s">
        <v>22</v>
      </c>
      <c r="L547" t="s">
        <v>23</v>
      </c>
      <c r="M547" t="str">
        <f t="shared" si="66"/>
        <v>1</v>
      </c>
      <c r="O547" t="str">
        <f>CONCATENATE("2 ","")</f>
        <v>2 </v>
      </c>
      <c r="P547">
        <v>66.85</v>
      </c>
      <c r="Q547" t="s">
        <v>24</v>
      </c>
    </row>
    <row r="548" spans="1:17" ht="15">
      <c r="A548" t="s">
        <v>17</v>
      </c>
      <c r="B548" s="1">
        <v>43152</v>
      </c>
      <c r="C548" t="s">
        <v>100</v>
      </c>
      <c r="D548" t="str">
        <f>CONCATENATE("0070005473","")</f>
        <v>0070005473</v>
      </c>
      <c r="E548" t="str">
        <f>CONCATENATE("0030921000230       ","")</f>
        <v>0030921000230       </v>
      </c>
      <c r="F548" t="str">
        <f>CONCATENATE("605231713","")</f>
        <v>605231713</v>
      </c>
      <c r="G548" t="s">
        <v>1081</v>
      </c>
      <c r="H548" t="s">
        <v>1088</v>
      </c>
      <c r="I548" t="s">
        <v>1085</v>
      </c>
      <c r="J548" t="str">
        <f t="shared" si="67"/>
        <v>080301</v>
      </c>
      <c r="K548" t="s">
        <v>22</v>
      </c>
      <c r="L548" t="s">
        <v>23</v>
      </c>
      <c r="M548" t="str">
        <f t="shared" si="66"/>
        <v>1</v>
      </c>
      <c r="O548" t="str">
        <f>CONCATENATE("1 ","")</f>
        <v>1 </v>
      </c>
      <c r="P548">
        <v>45.8</v>
      </c>
      <c r="Q548" t="s">
        <v>24</v>
      </c>
    </row>
    <row r="549" spans="1:17" ht="15">
      <c r="A549" t="s">
        <v>17</v>
      </c>
      <c r="B549" s="1">
        <v>43152</v>
      </c>
      <c r="C549" t="s">
        <v>100</v>
      </c>
      <c r="D549" t="str">
        <f>CONCATENATE("0070016134","")</f>
        <v>0070016134</v>
      </c>
      <c r="E549" t="str">
        <f>CONCATENATE("0030921000431       ","")</f>
        <v>0030921000431       </v>
      </c>
      <c r="F549" t="str">
        <f>CONCATENATE("1930113","")</f>
        <v>1930113</v>
      </c>
      <c r="G549" t="s">
        <v>1081</v>
      </c>
      <c r="H549" t="s">
        <v>1089</v>
      </c>
      <c r="I549" t="s">
        <v>1090</v>
      </c>
      <c r="J549" t="str">
        <f t="shared" si="67"/>
        <v>080301</v>
      </c>
      <c r="K549" t="s">
        <v>22</v>
      </c>
      <c r="L549" t="s">
        <v>23</v>
      </c>
      <c r="M549" t="str">
        <f t="shared" si="66"/>
        <v>1</v>
      </c>
      <c r="O549" t="str">
        <f>CONCATENATE("1 ","")</f>
        <v>1 </v>
      </c>
      <c r="P549">
        <v>28.1</v>
      </c>
      <c r="Q549" t="s">
        <v>24</v>
      </c>
    </row>
    <row r="550" spans="1:17" ht="15">
      <c r="A550" t="s">
        <v>17</v>
      </c>
      <c r="B550" s="1">
        <v>43152</v>
      </c>
      <c r="C550" t="s">
        <v>100</v>
      </c>
      <c r="D550" t="str">
        <f>CONCATENATE("0070016124","")</f>
        <v>0070016124</v>
      </c>
      <c r="E550" t="str">
        <f>CONCATENATE("0030921000460       ","")</f>
        <v>0030921000460       </v>
      </c>
      <c r="F550" t="str">
        <f>CONCATENATE("607295107","")</f>
        <v>607295107</v>
      </c>
      <c r="G550" t="s">
        <v>1081</v>
      </c>
      <c r="H550" t="s">
        <v>1091</v>
      </c>
      <c r="I550" t="s">
        <v>1092</v>
      </c>
      <c r="J550" t="str">
        <f t="shared" si="67"/>
        <v>080301</v>
      </c>
      <c r="K550" t="s">
        <v>22</v>
      </c>
      <c r="L550" t="s">
        <v>23</v>
      </c>
      <c r="M550" t="str">
        <f t="shared" si="66"/>
        <v>1</v>
      </c>
      <c r="O550" t="str">
        <f>CONCATENATE("1 ","")</f>
        <v>1 </v>
      </c>
      <c r="P550">
        <v>11.85</v>
      </c>
      <c r="Q550" t="s">
        <v>24</v>
      </c>
    </row>
    <row r="551" spans="1:17" ht="15">
      <c r="A551" t="s">
        <v>17</v>
      </c>
      <c r="B551" s="1">
        <v>43152</v>
      </c>
      <c r="C551" t="s">
        <v>100</v>
      </c>
      <c r="D551" t="str">
        <f>CONCATENATE("0070011215","")</f>
        <v>0070011215</v>
      </c>
      <c r="E551" t="str">
        <f>CONCATENATE("0030921000741       ","")</f>
        <v>0030921000741       </v>
      </c>
      <c r="F551" t="str">
        <f>CONCATENATE("605745220","")</f>
        <v>605745220</v>
      </c>
      <c r="G551" t="s">
        <v>1081</v>
      </c>
      <c r="H551" t="s">
        <v>1093</v>
      </c>
      <c r="I551" t="s">
        <v>1094</v>
      </c>
      <c r="J551" t="str">
        <f t="shared" si="67"/>
        <v>080301</v>
      </c>
      <c r="K551" t="s">
        <v>22</v>
      </c>
      <c r="L551" t="s">
        <v>23</v>
      </c>
      <c r="M551" t="str">
        <f t="shared" si="66"/>
        <v>1</v>
      </c>
      <c r="O551" t="str">
        <f>CONCATENATE("2 ","")</f>
        <v>2 </v>
      </c>
      <c r="P551">
        <v>163.15</v>
      </c>
      <c r="Q551" t="s">
        <v>24</v>
      </c>
    </row>
    <row r="552" spans="1:17" ht="15">
      <c r="A552" t="s">
        <v>17</v>
      </c>
      <c r="B552" s="1">
        <v>43152</v>
      </c>
      <c r="C552" t="s">
        <v>100</v>
      </c>
      <c r="D552" t="str">
        <f>CONCATENATE("0070017546","")</f>
        <v>0070017546</v>
      </c>
      <c r="E552" t="str">
        <f>CONCATENATE("0030922000032       ","")</f>
        <v>0030922000032       </v>
      </c>
      <c r="F552" t="str">
        <f>CONCATENATE("605622335","")</f>
        <v>605622335</v>
      </c>
      <c r="G552" t="s">
        <v>1095</v>
      </c>
      <c r="H552" t="s">
        <v>1096</v>
      </c>
      <c r="I552" t="s">
        <v>1097</v>
      </c>
      <c r="J552" t="str">
        <f t="shared" si="67"/>
        <v>080301</v>
      </c>
      <c r="K552" t="s">
        <v>22</v>
      </c>
      <c r="L552" t="s">
        <v>23</v>
      </c>
      <c r="M552" t="str">
        <f t="shared" si="66"/>
        <v>1</v>
      </c>
      <c r="O552" t="str">
        <f>CONCATENATE("1 ","")</f>
        <v>1 </v>
      </c>
      <c r="P552">
        <v>46.4</v>
      </c>
      <c r="Q552" t="s">
        <v>24</v>
      </c>
    </row>
    <row r="553" spans="1:17" ht="15">
      <c r="A553" t="s">
        <v>17</v>
      </c>
      <c r="B553" s="1">
        <v>43152</v>
      </c>
      <c r="C553" t="s">
        <v>100</v>
      </c>
      <c r="D553" t="str">
        <f>CONCATENATE("0070005530","")</f>
        <v>0070005530</v>
      </c>
      <c r="E553" t="str">
        <f>CONCATENATE("0030922000185       ","")</f>
        <v>0030922000185       </v>
      </c>
      <c r="F553" t="str">
        <f>CONCATENATE("2122629","")</f>
        <v>2122629</v>
      </c>
      <c r="G553" t="s">
        <v>1095</v>
      </c>
      <c r="H553" t="s">
        <v>1098</v>
      </c>
      <c r="I553" t="s">
        <v>1085</v>
      </c>
      <c r="J553" t="str">
        <f t="shared" si="67"/>
        <v>080301</v>
      </c>
      <c r="K553" t="s">
        <v>22</v>
      </c>
      <c r="L553" t="s">
        <v>23</v>
      </c>
      <c r="M553" t="str">
        <f t="shared" si="66"/>
        <v>1</v>
      </c>
      <c r="O553" t="str">
        <f>CONCATENATE("5 ","")</f>
        <v>5 </v>
      </c>
      <c r="P553">
        <v>139.45</v>
      </c>
      <c r="Q553" t="s">
        <v>24</v>
      </c>
    </row>
    <row r="554" spans="1:17" ht="15">
      <c r="A554" t="s">
        <v>17</v>
      </c>
      <c r="B554" s="1">
        <v>43152</v>
      </c>
      <c r="C554" t="s">
        <v>111</v>
      </c>
      <c r="D554" t="str">
        <f>CONCATENATE("0070011755","")</f>
        <v>0070011755</v>
      </c>
      <c r="E554" t="str">
        <f>CONCATENATE("0030930000430       ","")</f>
        <v>0030930000430       </v>
      </c>
      <c r="F554" t="str">
        <f>CONCATENATE("1674064","")</f>
        <v>1674064</v>
      </c>
      <c r="G554" t="s">
        <v>1099</v>
      </c>
      <c r="H554" t="s">
        <v>1100</v>
      </c>
      <c r="I554" t="s">
        <v>1101</v>
      </c>
      <c r="J554" t="str">
        <f t="shared" si="67"/>
        <v>080301</v>
      </c>
      <c r="K554" t="s">
        <v>22</v>
      </c>
      <c r="L554" t="s">
        <v>23</v>
      </c>
      <c r="M554" t="str">
        <f t="shared" si="66"/>
        <v>1</v>
      </c>
      <c r="O554" t="str">
        <f>CONCATENATE("1 ","")</f>
        <v>1 </v>
      </c>
      <c r="P554">
        <v>28.8</v>
      </c>
      <c r="Q554" t="s">
        <v>24</v>
      </c>
    </row>
    <row r="555" spans="1:17" ht="15">
      <c r="A555" t="s">
        <v>17</v>
      </c>
      <c r="B555" s="1">
        <v>43152</v>
      </c>
      <c r="C555" t="s">
        <v>111</v>
      </c>
      <c r="D555" t="str">
        <f>CONCATENATE("0070011839","")</f>
        <v>0070011839</v>
      </c>
      <c r="E555" t="str">
        <f>CONCATENATE("0030930000740       ","")</f>
        <v>0030930000740       </v>
      </c>
      <c r="F555" t="str">
        <f>CONCATENATE("606087716","")</f>
        <v>606087716</v>
      </c>
      <c r="G555" t="s">
        <v>1099</v>
      </c>
      <c r="H555" t="s">
        <v>1102</v>
      </c>
      <c r="I555" t="s">
        <v>1103</v>
      </c>
      <c r="J555" t="str">
        <f t="shared" si="67"/>
        <v>080301</v>
      </c>
      <c r="K555" t="s">
        <v>22</v>
      </c>
      <c r="L555" t="s">
        <v>23</v>
      </c>
      <c r="M555" t="str">
        <f t="shared" si="66"/>
        <v>1</v>
      </c>
      <c r="O555" t="str">
        <f>CONCATENATE("2 ","")</f>
        <v>2 </v>
      </c>
      <c r="P555">
        <v>18.05</v>
      </c>
      <c r="Q555" t="s">
        <v>24</v>
      </c>
    </row>
    <row r="556" spans="1:17" ht="15">
      <c r="A556" t="s">
        <v>17</v>
      </c>
      <c r="B556" s="1">
        <v>43152</v>
      </c>
      <c r="C556" t="s">
        <v>111</v>
      </c>
      <c r="D556" t="str">
        <f>CONCATENATE("0070012233","")</f>
        <v>0070012233</v>
      </c>
      <c r="E556" t="str">
        <f>CONCATENATE("0030930000870       ","")</f>
        <v>0030930000870       </v>
      </c>
      <c r="F556" t="str">
        <f>CONCATENATE("606842968","")</f>
        <v>606842968</v>
      </c>
      <c r="G556" t="s">
        <v>1099</v>
      </c>
      <c r="H556" t="s">
        <v>1104</v>
      </c>
      <c r="I556" t="s">
        <v>1101</v>
      </c>
      <c r="J556" t="str">
        <f t="shared" si="67"/>
        <v>080301</v>
      </c>
      <c r="K556" t="s">
        <v>22</v>
      </c>
      <c r="L556" t="s">
        <v>23</v>
      </c>
      <c r="M556" t="str">
        <f t="shared" si="66"/>
        <v>1</v>
      </c>
      <c r="O556" t="str">
        <f>CONCATENATE("1 ","")</f>
        <v>1 </v>
      </c>
      <c r="P556">
        <v>19.4</v>
      </c>
      <c r="Q556" t="s">
        <v>24</v>
      </c>
    </row>
    <row r="557" spans="1:17" ht="15">
      <c r="A557" t="s">
        <v>17</v>
      </c>
      <c r="B557" s="1">
        <v>43152</v>
      </c>
      <c r="C557" t="s">
        <v>111</v>
      </c>
      <c r="D557" t="str">
        <f>CONCATENATE("0070011842","")</f>
        <v>0070011842</v>
      </c>
      <c r="E557" t="str">
        <f>CONCATENATE("0030930001050       ","")</f>
        <v>0030930001050       </v>
      </c>
      <c r="F557" t="str">
        <f>CONCATENATE("606087710","")</f>
        <v>606087710</v>
      </c>
      <c r="G557" t="s">
        <v>1099</v>
      </c>
      <c r="H557" t="s">
        <v>1105</v>
      </c>
      <c r="I557" t="s">
        <v>1103</v>
      </c>
      <c r="J557" t="str">
        <f t="shared" si="67"/>
        <v>080301</v>
      </c>
      <c r="K557" t="s">
        <v>22</v>
      </c>
      <c r="L557" t="s">
        <v>23</v>
      </c>
      <c r="M557" t="str">
        <f t="shared" si="66"/>
        <v>1</v>
      </c>
      <c r="O557" t="str">
        <f>CONCATENATE("2 ","")</f>
        <v>2 </v>
      </c>
      <c r="P557">
        <v>20.15</v>
      </c>
      <c r="Q557" t="s">
        <v>24</v>
      </c>
    </row>
    <row r="558" spans="1:17" ht="15">
      <c r="A558" t="s">
        <v>17</v>
      </c>
      <c r="B558" s="1">
        <v>43152</v>
      </c>
      <c r="C558" t="s">
        <v>111</v>
      </c>
      <c r="D558" t="str">
        <f>CONCATENATE("0070020692","")</f>
        <v>0070020692</v>
      </c>
      <c r="E558" t="str">
        <f>CONCATENATE("0030930001055       ","")</f>
        <v>0030930001055       </v>
      </c>
      <c r="F558" t="str">
        <f>CONCATENATE("507007759","")</f>
        <v>507007759</v>
      </c>
      <c r="G558" t="s">
        <v>1099</v>
      </c>
      <c r="H558" t="s">
        <v>1106</v>
      </c>
      <c r="I558" t="s">
        <v>1107</v>
      </c>
      <c r="J558" t="str">
        <f t="shared" si="67"/>
        <v>080301</v>
      </c>
      <c r="K558" t="s">
        <v>22</v>
      </c>
      <c r="L558" t="s">
        <v>23</v>
      </c>
      <c r="M558" t="str">
        <f>CONCATENATE("3","")</f>
        <v>3</v>
      </c>
      <c r="O558" t="str">
        <f>CONCATENATE("2 ","")</f>
        <v>2 </v>
      </c>
      <c r="P558">
        <v>17.6</v>
      </c>
      <c r="Q558" t="s">
        <v>51</v>
      </c>
    </row>
    <row r="559" spans="1:17" ht="15">
      <c r="A559" t="s">
        <v>17</v>
      </c>
      <c r="B559" s="1">
        <v>43152</v>
      </c>
      <c r="C559" t="s">
        <v>100</v>
      </c>
      <c r="D559" t="str">
        <f>CONCATENATE("0070019684","")</f>
        <v>0070019684</v>
      </c>
      <c r="E559" t="str">
        <f>CONCATENATE("0030932000110       ","")</f>
        <v>0030932000110       </v>
      </c>
      <c r="F559" t="str">
        <f>CONCATENATE("605933914","")</f>
        <v>605933914</v>
      </c>
      <c r="G559" t="s">
        <v>1108</v>
      </c>
      <c r="H559" t="s">
        <v>1109</v>
      </c>
      <c r="I559" t="s">
        <v>1110</v>
      </c>
      <c r="J559" t="str">
        <f t="shared" si="67"/>
        <v>080301</v>
      </c>
      <c r="K559" t="s">
        <v>22</v>
      </c>
      <c r="L559" t="s">
        <v>23</v>
      </c>
      <c r="M559" t="str">
        <f aca="true" t="shared" si="68" ref="M559:M574">CONCATENATE("1","")</f>
        <v>1</v>
      </c>
      <c r="O559" t="str">
        <f>CONCATENATE("1 ","")</f>
        <v>1 </v>
      </c>
      <c r="P559">
        <v>8.2</v>
      </c>
      <c r="Q559" t="s">
        <v>24</v>
      </c>
    </row>
    <row r="560" spans="1:17" ht="15">
      <c r="A560" t="s">
        <v>17</v>
      </c>
      <c r="B560" s="1">
        <v>43152</v>
      </c>
      <c r="C560" t="s">
        <v>1111</v>
      </c>
      <c r="D560" t="str">
        <f>CONCATENATE("0070005566","")</f>
        <v>0070005566</v>
      </c>
      <c r="E560" t="str">
        <f>CONCATENATE("0031001000403       ","")</f>
        <v>0031001000403       </v>
      </c>
      <c r="F560" t="str">
        <f>CONCATENATE("2128258","")</f>
        <v>2128258</v>
      </c>
      <c r="G560" t="s">
        <v>1112</v>
      </c>
      <c r="H560" t="s">
        <v>1113</v>
      </c>
      <c r="I560" t="s">
        <v>1114</v>
      </c>
      <c r="J560" t="str">
        <f aca="true" t="shared" si="69" ref="J560:J577">CONCATENATE("080309","")</f>
        <v>080309</v>
      </c>
      <c r="K560" t="s">
        <v>22</v>
      </c>
      <c r="L560" t="s">
        <v>23</v>
      </c>
      <c r="M560" t="str">
        <f t="shared" si="68"/>
        <v>1</v>
      </c>
      <c r="O560" t="str">
        <f>CONCATENATE("1 ","")</f>
        <v>1 </v>
      </c>
      <c r="P560">
        <v>2318.65</v>
      </c>
      <c r="Q560" t="s">
        <v>24</v>
      </c>
    </row>
    <row r="561" spans="1:17" ht="15">
      <c r="A561" t="s">
        <v>17</v>
      </c>
      <c r="B561" s="1">
        <v>43152</v>
      </c>
      <c r="C561" t="s">
        <v>1111</v>
      </c>
      <c r="D561" t="str">
        <f>CONCATENATE("0070005587","")</f>
        <v>0070005587</v>
      </c>
      <c r="E561" t="str">
        <f>CONCATENATE("0031001000580       ","")</f>
        <v>0031001000580       </v>
      </c>
      <c r="F561" t="str">
        <f>CONCATENATE("607651198","")</f>
        <v>607651198</v>
      </c>
      <c r="G561" t="s">
        <v>1115</v>
      </c>
      <c r="H561" t="s">
        <v>1116</v>
      </c>
      <c r="I561" t="str">
        <f>CONCATENATE("2-DE-MAYO-S-N","")</f>
        <v>2-DE-MAYO-S-N</v>
      </c>
      <c r="J561" t="str">
        <f t="shared" si="69"/>
        <v>080309</v>
      </c>
      <c r="K561" t="s">
        <v>22</v>
      </c>
      <c r="L561" t="s">
        <v>23</v>
      </c>
      <c r="M561" t="str">
        <f t="shared" si="68"/>
        <v>1</v>
      </c>
      <c r="O561" t="str">
        <f>CONCATENATE("2 ","")</f>
        <v>2 </v>
      </c>
      <c r="P561">
        <v>15.95</v>
      </c>
      <c r="Q561" t="s">
        <v>24</v>
      </c>
    </row>
    <row r="562" spans="1:17" ht="15">
      <c r="A562" t="s">
        <v>17</v>
      </c>
      <c r="B562" s="1">
        <v>43152</v>
      </c>
      <c r="C562" t="s">
        <v>1111</v>
      </c>
      <c r="D562" t="str">
        <f>CONCATENATE("0070005589","")</f>
        <v>0070005589</v>
      </c>
      <c r="E562" t="str">
        <f>CONCATENATE("0031001000600       ","")</f>
        <v>0031001000600       </v>
      </c>
      <c r="F562" t="str">
        <f>CONCATENATE("2191192","")</f>
        <v>2191192</v>
      </c>
      <c r="G562" t="s">
        <v>1115</v>
      </c>
      <c r="H562" t="s">
        <v>1117</v>
      </c>
      <c r="I562" t="str">
        <f>CONCATENATE("2-DE-MAYO-S-N","")</f>
        <v>2-DE-MAYO-S-N</v>
      </c>
      <c r="J562" t="str">
        <f t="shared" si="69"/>
        <v>080309</v>
      </c>
      <c r="K562" t="s">
        <v>22</v>
      </c>
      <c r="L562" t="s">
        <v>23</v>
      </c>
      <c r="M562" t="str">
        <f t="shared" si="68"/>
        <v>1</v>
      </c>
      <c r="O562" t="str">
        <f aca="true" t="shared" si="70" ref="O562:O569">CONCATENATE("1 ","")</f>
        <v>1 </v>
      </c>
      <c r="P562">
        <v>9.85</v>
      </c>
      <c r="Q562" t="s">
        <v>24</v>
      </c>
    </row>
    <row r="563" spans="1:17" ht="15">
      <c r="A563" t="s">
        <v>17</v>
      </c>
      <c r="B563" s="1">
        <v>43152</v>
      </c>
      <c r="C563" t="s">
        <v>1111</v>
      </c>
      <c r="D563" t="str">
        <f>CONCATENATE("0070005593","")</f>
        <v>0070005593</v>
      </c>
      <c r="E563" t="str">
        <f>CONCATENATE("0031001000640       ","")</f>
        <v>0031001000640       </v>
      </c>
      <c r="F563" t="str">
        <f>CONCATENATE("607450253","")</f>
        <v>607450253</v>
      </c>
      <c r="G563" t="s">
        <v>1115</v>
      </c>
      <c r="H563" t="s">
        <v>1118</v>
      </c>
      <c r="I563" t="str">
        <f>CONCATENATE("2-DE-MAYO-S-N--ZURITE","")</f>
        <v>2-DE-MAYO-S-N--ZURITE</v>
      </c>
      <c r="J563" t="str">
        <f t="shared" si="69"/>
        <v>080309</v>
      </c>
      <c r="K563" t="s">
        <v>22</v>
      </c>
      <c r="L563" t="s">
        <v>23</v>
      </c>
      <c r="M563" t="str">
        <f t="shared" si="68"/>
        <v>1</v>
      </c>
      <c r="O563" t="str">
        <f t="shared" si="70"/>
        <v>1 </v>
      </c>
      <c r="P563">
        <v>14.75</v>
      </c>
      <c r="Q563" t="s">
        <v>24</v>
      </c>
    </row>
    <row r="564" spans="1:17" ht="15">
      <c r="A564" t="s">
        <v>17</v>
      </c>
      <c r="B564" s="1">
        <v>43152</v>
      </c>
      <c r="C564" t="s">
        <v>1111</v>
      </c>
      <c r="D564" t="str">
        <f>CONCATENATE("0070021343","")</f>
        <v>0070021343</v>
      </c>
      <c r="E564" t="str">
        <f>CONCATENATE("0031001001035       ","")</f>
        <v>0031001001035       </v>
      </c>
      <c r="F564" t="str">
        <f>CONCATENATE("2191998","")</f>
        <v>2191998</v>
      </c>
      <c r="G564" t="s">
        <v>1115</v>
      </c>
      <c r="H564" t="s">
        <v>1119</v>
      </c>
      <c r="I564" t="s">
        <v>1120</v>
      </c>
      <c r="J564" t="str">
        <f t="shared" si="69"/>
        <v>080309</v>
      </c>
      <c r="K564" t="s">
        <v>22</v>
      </c>
      <c r="L564" t="s">
        <v>23</v>
      </c>
      <c r="M564" t="str">
        <f t="shared" si="68"/>
        <v>1</v>
      </c>
      <c r="O564" t="str">
        <f t="shared" si="70"/>
        <v>1 </v>
      </c>
      <c r="P564">
        <v>14.3</v>
      </c>
      <c r="Q564" t="s">
        <v>24</v>
      </c>
    </row>
    <row r="565" spans="1:17" ht="15">
      <c r="A565" t="s">
        <v>17</v>
      </c>
      <c r="B565" s="1">
        <v>43152</v>
      </c>
      <c r="C565" t="s">
        <v>1111</v>
      </c>
      <c r="D565" t="str">
        <f>CONCATENATE("0070005638","")</f>
        <v>0070005638</v>
      </c>
      <c r="E565" t="str">
        <f>CONCATENATE("0031001001150       ","")</f>
        <v>0031001001150       </v>
      </c>
      <c r="F565" t="str">
        <f>CONCATENATE("11421","")</f>
        <v>11421</v>
      </c>
      <c r="G565" t="s">
        <v>1115</v>
      </c>
      <c r="H565" t="s">
        <v>1121</v>
      </c>
      <c r="I565" t="s">
        <v>1122</v>
      </c>
      <c r="J565" t="str">
        <f t="shared" si="69"/>
        <v>080309</v>
      </c>
      <c r="K565" t="s">
        <v>22</v>
      </c>
      <c r="L565" t="s">
        <v>23</v>
      </c>
      <c r="M565" t="str">
        <f t="shared" si="68"/>
        <v>1</v>
      </c>
      <c r="O565" t="str">
        <f t="shared" si="70"/>
        <v>1 </v>
      </c>
      <c r="P565">
        <v>534.95</v>
      </c>
      <c r="Q565" t="s">
        <v>24</v>
      </c>
    </row>
    <row r="566" spans="1:17" ht="15">
      <c r="A566" t="s">
        <v>17</v>
      </c>
      <c r="B566" s="1">
        <v>43152</v>
      </c>
      <c r="C566" t="s">
        <v>1111</v>
      </c>
      <c r="D566" t="str">
        <f>CONCATENATE("0070005656","")</f>
        <v>0070005656</v>
      </c>
      <c r="E566" t="str">
        <f>CONCATENATE("0031001001350       ","")</f>
        <v>0031001001350       </v>
      </c>
      <c r="F566" t="str">
        <f>CONCATENATE("2191197","")</f>
        <v>2191197</v>
      </c>
      <c r="G566" t="s">
        <v>1115</v>
      </c>
      <c r="H566" t="s">
        <v>1123</v>
      </c>
      <c r="I566" t="s">
        <v>1124</v>
      </c>
      <c r="J566" t="str">
        <f t="shared" si="69"/>
        <v>080309</v>
      </c>
      <c r="K566" t="s">
        <v>22</v>
      </c>
      <c r="L566" t="s">
        <v>23</v>
      </c>
      <c r="M566" t="str">
        <f t="shared" si="68"/>
        <v>1</v>
      </c>
      <c r="O566" t="str">
        <f t="shared" si="70"/>
        <v>1 </v>
      </c>
      <c r="P566">
        <v>7.3</v>
      </c>
      <c r="Q566" t="s">
        <v>24</v>
      </c>
    </row>
    <row r="567" spans="1:17" ht="15">
      <c r="A567" t="s">
        <v>17</v>
      </c>
      <c r="B567" s="1">
        <v>43152</v>
      </c>
      <c r="C567" t="s">
        <v>1111</v>
      </c>
      <c r="D567" t="str">
        <f>CONCATENATE("0070005659","")</f>
        <v>0070005659</v>
      </c>
      <c r="E567" t="str">
        <f>CONCATENATE("0031001001390       ","")</f>
        <v>0031001001390       </v>
      </c>
      <c r="F567" t="str">
        <f>CONCATENATE("607445734","")</f>
        <v>607445734</v>
      </c>
      <c r="G567" t="s">
        <v>1115</v>
      </c>
      <c r="H567" t="s">
        <v>1125</v>
      </c>
      <c r="I567" t="s">
        <v>1124</v>
      </c>
      <c r="J567" t="str">
        <f t="shared" si="69"/>
        <v>080309</v>
      </c>
      <c r="K567" t="s">
        <v>22</v>
      </c>
      <c r="L567" t="s">
        <v>23</v>
      </c>
      <c r="M567" t="str">
        <f t="shared" si="68"/>
        <v>1</v>
      </c>
      <c r="O567" t="str">
        <f t="shared" si="70"/>
        <v>1 </v>
      </c>
      <c r="P567">
        <v>36.95</v>
      </c>
      <c r="Q567" t="s">
        <v>24</v>
      </c>
    </row>
    <row r="568" spans="1:17" ht="15">
      <c r="A568" t="s">
        <v>17</v>
      </c>
      <c r="B568" s="1">
        <v>43152</v>
      </c>
      <c r="C568" t="s">
        <v>1111</v>
      </c>
      <c r="D568" t="str">
        <f>CONCATENATE("0070005698","")</f>
        <v>0070005698</v>
      </c>
      <c r="E568" t="str">
        <f>CONCATENATE("0031002000190       ","")</f>
        <v>0031002000190       </v>
      </c>
      <c r="F568" t="str">
        <f>CONCATENATE("607445729","")</f>
        <v>607445729</v>
      </c>
      <c r="G568" t="s">
        <v>1112</v>
      </c>
      <c r="H568" t="s">
        <v>1126</v>
      </c>
      <c r="I568" t="s">
        <v>1127</v>
      </c>
      <c r="J568" t="str">
        <f t="shared" si="69"/>
        <v>080309</v>
      </c>
      <c r="K568" t="s">
        <v>22</v>
      </c>
      <c r="L568" t="s">
        <v>23</v>
      </c>
      <c r="M568" t="str">
        <f t="shared" si="68"/>
        <v>1</v>
      </c>
      <c r="O568" t="str">
        <f t="shared" si="70"/>
        <v>1 </v>
      </c>
      <c r="P568">
        <v>78.4</v>
      </c>
      <c r="Q568" t="s">
        <v>24</v>
      </c>
    </row>
    <row r="569" spans="1:17" ht="15">
      <c r="A569" t="s">
        <v>17</v>
      </c>
      <c r="B569" s="1">
        <v>43152</v>
      </c>
      <c r="C569" t="s">
        <v>1111</v>
      </c>
      <c r="D569" t="str">
        <f>CONCATENATE("0070005719","")</f>
        <v>0070005719</v>
      </c>
      <c r="E569" t="str">
        <f>CONCATENATE("0031002000390       ","")</f>
        <v>0031002000390       </v>
      </c>
      <c r="F569" t="str">
        <f>CONCATENATE("607445726","")</f>
        <v>607445726</v>
      </c>
      <c r="G569" t="s">
        <v>1112</v>
      </c>
      <c r="H569" t="s">
        <v>1128</v>
      </c>
      <c r="I569" t="s">
        <v>1129</v>
      </c>
      <c r="J569" t="str">
        <f t="shared" si="69"/>
        <v>080309</v>
      </c>
      <c r="K569" t="s">
        <v>22</v>
      </c>
      <c r="L569" t="s">
        <v>23</v>
      </c>
      <c r="M569" t="str">
        <f t="shared" si="68"/>
        <v>1</v>
      </c>
      <c r="O569" t="str">
        <f t="shared" si="70"/>
        <v>1 </v>
      </c>
      <c r="P569">
        <v>25.1</v>
      </c>
      <c r="Q569" t="s">
        <v>24</v>
      </c>
    </row>
    <row r="570" spans="1:17" ht="15">
      <c r="A570" t="s">
        <v>17</v>
      </c>
      <c r="B570" s="1">
        <v>43152</v>
      </c>
      <c r="C570" t="s">
        <v>1111</v>
      </c>
      <c r="D570" t="str">
        <f>CONCATENATE("0070005738","")</f>
        <v>0070005738</v>
      </c>
      <c r="E570" t="str">
        <f>CONCATENATE("0031002000580       ","")</f>
        <v>0031002000580       </v>
      </c>
      <c r="F570" t="str">
        <f>CONCATENATE("606750027","")</f>
        <v>606750027</v>
      </c>
      <c r="G570" t="s">
        <v>1112</v>
      </c>
      <c r="H570" t="s">
        <v>1130</v>
      </c>
      <c r="I570" t="s">
        <v>1131</v>
      </c>
      <c r="J570" t="str">
        <f t="shared" si="69"/>
        <v>080309</v>
      </c>
      <c r="K570" t="s">
        <v>22</v>
      </c>
      <c r="L570" t="s">
        <v>23</v>
      </c>
      <c r="M570" t="str">
        <f t="shared" si="68"/>
        <v>1</v>
      </c>
      <c r="O570" t="str">
        <f>CONCATENATE("2 ","")</f>
        <v>2 </v>
      </c>
      <c r="P570">
        <v>58.15</v>
      </c>
      <c r="Q570" t="s">
        <v>24</v>
      </c>
    </row>
    <row r="571" spans="1:17" ht="15">
      <c r="A571" t="s">
        <v>17</v>
      </c>
      <c r="B571" s="1">
        <v>43152</v>
      </c>
      <c r="C571" t="s">
        <v>1111</v>
      </c>
      <c r="D571" t="str">
        <f>CONCATENATE("0070005860","")</f>
        <v>0070005860</v>
      </c>
      <c r="E571" t="str">
        <f>CONCATENATE("0031010000200       ","")</f>
        <v>0031010000200       </v>
      </c>
      <c r="F571" t="str">
        <f>CONCATENATE("607653116","")</f>
        <v>607653116</v>
      </c>
      <c r="G571" t="s">
        <v>1132</v>
      </c>
      <c r="H571" t="s">
        <v>1133</v>
      </c>
      <c r="I571" t="s">
        <v>1111</v>
      </c>
      <c r="J571" t="str">
        <f t="shared" si="69"/>
        <v>080309</v>
      </c>
      <c r="K571" t="s">
        <v>22</v>
      </c>
      <c r="L571" t="s">
        <v>23</v>
      </c>
      <c r="M571" t="str">
        <f t="shared" si="68"/>
        <v>1</v>
      </c>
      <c r="O571" t="str">
        <f>CONCATENATE("1 ","")</f>
        <v>1 </v>
      </c>
      <c r="P571">
        <v>127.8</v>
      </c>
      <c r="Q571" t="s">
        <v>24</v>
      </c>
    </row>
    <row r="572" spans="1:17" ht="15">
      <c r="A572" t="s">
        <v>17</v>
      </c>
      <c r="B572" s="1">
        <v>43152</v>
      </c>
      <c r="C572" t="s">
        <v>1111</v>
      </c>
      <c r="D572" t="str">
        <f>CONCATENATE("0070025077","")</f>
        <v>0070025077</v>
      </c>
      <c r="E572" t="str">
        <f>CONCATENATE("0031010000206       ","")</f>
        <v>0031010000206       </v>
      </c>
      <c r="F572" t="str">
        <f>CONCATENATE("607300982","")</f>
        <v>607300982</v>
      </c>
      <c r="G572" t="s">
        <v>1132</v>
      </c>
      <c r="H572" t="s">
        <v>1134</v>
      </c>
      <c r="I572" t="s">
        <v>1135</v>
      </c>
      <c r="J572" t="str">
        <f t="shared" si="69"/>
        <v>080309</v>
      </c>
      <c r="K572" t="s">
        <v>22</v>
      </c>
      <c r="L572" t="s">
        <v>23</v>
      </c>
      <c r="M572" t="str">
        <f t="shared" si="68"/>
        <v>1</v>
      </c>
      <c r="O572" t="str">
        <f>CONCATENATE("1 ","")</f>
        <v>1 </v>
      </c>
      <c r="P572">
        <v>76.7</v>
      </c>
      <c r="Q572" t="s">
        <v>24</v>
      </c>
    </row>
    <row r="573" spans="1:17" ht="15">
      <c r="A573" t="s">
        <v>17</v>
      </c>
      <c r="B573" s="1">
        <v>43152</v>
      </c>
      <c r="C573" t="s">
        <v>1111</v>
      </c>
      <c r="D573" t="str">
        <f>CONCATENATE("0070025076","")</f>
        <v>0070025076</v>
      </c>
      <c r="E573" t="str">
        <f>CONCATENATE("0031010000209       ","")</f>
        <v>0031010000209       </v>
      </c>
      <c r="F573" t="str">
        <f>CONCATENATE("606904691","")</f>
        <v>606904691</v>
      </c>
      <c r="G573" t="s">
        <v>1132</v>
      </c>
      <c r="H573" t="s">
        <v>1136</v>
      </c>
      <c r="I573" t="s">
        <v>1137</v>
      </c>
      <c r="J573" t="str">
        <f t="shared" si="69"/>
        <v>080309</v>
      </c>
      <c r="K573" t="s">
        <v>22</v>
      </c>
      <c r="L573" t="s">
        <v>23</v>
      </c>
      <c r="M573" t="str">
        <f t="shared" si="68"/>
        <v>1</v>
      </c>
      <c r="O573" t="str">
        <f>CONCATENATE("1 ","")</f>
        <v>1 </v>
      </c>
      <c r="P573">
        <v>62.45</v>
      </c>
      <c r="Q573" t="s">
        <v>24</v>
      </c>
    </row>
    <row r="574" spans="1:17" ht="15">
      <c r="A574" t="s">
        <v>17</v>
      </c>
      <c r="B574" s="1">
        <v>43152</v>
      </c>
      <c r="C574" t="s">
        <v>1111</v>
      </c>
      <c r="D574" t="str">
        <f>CONCATENATE("0070005869","")</f>
        <v>0070005869</v>
      </c>
      <c r="E574" t="str">
        <f>CONCATENATE("0031010000380       ","")</f>
        <v>0031010000380       </v>
      </c>
      <c r="F574" t="str">
        <f>CONCATENATE("607443337","")</f>
        <v>607443337</v>
      </c>
      <c r="G574" t="s">
        <v>1132</v>
      </c>
      <c r="H574" t="s">
        <v>1138</v>
      </c>
      <c r="I574" t="s">
        <v>1139</v>
      </c>
      <c r="J574" t="str">
        <f t="shared" si="69"/>
        <v>080309</v>
      </c>
      <c r="K574" t="s">
        <v>22</v>
      </c>
      <c r="L574" t="s">
        <v>23</v>
      </c>
      <c r="M574" t="str">
        <f t="shared" si="68"/>
        <v>1</v>
      </c>
      <c r="O574" t="str">
        <f>CONCATENATE("1 ","")</f>
        <v>1 </v>
      </c>
      <c r="P574">
        <v>143.65</v>
      </c>
      <c r="Q574" t="s">
        <v>24</v>
      </c>
    </row>
    <row r="575" spans="1:17" ht="15">
      <c r="A575" t="s">
        <v>17</v>
      </c>
      <c r="B575" s="1">
        <v>43152</v>
      </c>
      <c r="C575" t="s">
        <v>1111</v>
      </c>
      <c r="D575" t="str">
        <f>CONCATENATE("0070016460","")</f>
        <v>0070016460</v>
      </c>
      <c r="E575" t="str">
        <f>CONCATENATE("0031010000425       ","")</f>
        <v>0031010000425       </v>
      </c>
      <c r="F575" t="str">
        <f>CONCATENATE("607428888","")</f>
        <v>607428888</v>
      </c>
      <c r="G575" t="s">
        <v>1132</v>
      </c>
      <c r="H575" t="s">
        <v>1140</v>
      </c>
      <c r="I575" t="s">
        <v>1141</v>
      </c>
      <c r="J575" t="str">
        <f t="shared" si="69"/>
        <v>080309</v>
      </c>
      <c r="K575" t="s">
        <v>22</v>
      </c>
      <c r="L575" t="s">
        <v>23</v>
      </c>
      <c r="M575" t="str">
        <f>CONCATENATE("3","")</f>
        <v>3</v>
      </c>
      <c r="O575" t="str">
        <f>CONCATENATE("1 ","")</f>
        <v>1 </v>
      </c>
      <c r="P575">
        <v>80.15</v>
      </c>
      <c r="Q575" t="s">
        <v>51</v>
      </c>
    </row>
    <row r="576" spans="1:17" ht="15">
      <c r="A576" t="s">
        <v>17</v>
      </c>
      <c r="B576" s="1">
        <v>43152</v>
      </c>
      <c r="C576" t="s">
        <v>1111</v>
      </c>
      <c r="D576" t="str">
        <f>CONCATENATE("0070005878","")</f>
        <v>0070005878</v>
      </c>
      <c r="E576" t="str">
        <f>CONCATENATE("0031010000520       ","")</f>
        <v>0031010000520       </v>
      </c>
      <c r="F576" t="str">
        <f>CONCATENATE("606085424","")</f>
        <v>606085424</v>
      </c>
      <c r="G576" t="s">
        <v>1132</v>
      </c>
      <c r="H576" t="s">
        <v>1142</v>
      </c>
      <c r="I576" t="s">
        <v>1143</v>
      </c>
      <c r="J576" t="str">
        <f t="shared" si="69"/>
        <v>080309</v>
      </c>
      <c r="K576" t="s">
        <v>22</v>
      </c>
      <c r="L576" t="s">
        <v>23</v>
      </c>
      <c r="M576" t="str">
        <f aca="true" t="shared" si="71" ref="M576:M586">CONCATENATE("1","")</f>
        <v>1</v>
      </c>
      <c r="O576" t="str">
        <f>CONCATENATE("3 ","")</f>
        <v>3 </v>
      </c>
      <c r="P576">
        <v>183.7</v>
      </c>
      <c r="Q576" t="s">
        <v>24</v>
      </c>
    </row>
    <row r="577" spans="1:17" ht="15">
      <c r="A577" t="s">
        <v>17</v>
      </c>
      <c r="B577" s="1">
        <v>43152</v>
      </c>
      <c r="C577" t="s">
        <v>1111</v>
      </c>
      <c r="D577" t="str">
        <f>CONCATENATE("0070011272","")</f>
        <v>0070011272</v>
      </c>
      <c r="E577" t="str">
        <f>CONCATENATE("0031010000605       ","")</f>
        <v>0031010000605       </v>
      </c>
      <c r="F577" t="str">
        <f>CONCATENATE("605741255","")</f>
        <v>605741255</v>
      </c>
      <c r="G577" t="s">
        <v>1132</v>
      </c>
      <c r="H577" t="s">
        <v>1144</v>
      </c>
      <c r="I577" t="s">
        <v>1145</v>
      </c>
      <c r="J577" t="str">
        <f t="shared" si="69"/>
        <v>080309</v>
      </c>
      <c r="K577" t="s">
        <v>22</v>
      </c>
      <c r="L577" t="s">
        <v>23</v>
      </c>
      <c r="M577" t="str">
        <f t="shared" si="71"/>
        <v>1</v>
      </c>
      <c r="O577" t="str">
        <f>CONCATENATE("3 ","")</f>
        <v>3 </v>
      </c>
      <c r="P577">
        <v>138.15</v>
      </c>
      <c r="Q577" t="s">
        <v>24</v>
      </c>
    </row>
    <row r="578" spans="1:17" ht="15">
      <c r="A578" t="s">
        <v>17</v>
      </c>
      <c r="B578" s="1">
        <v>43152</v>
      </c>
      <c r="C578" t="s">
        <v>111</v>
      </c>
      <c r="D578" t="str">
        <f>CONCATENATE("0070010008","")</f>
        <v>0070010008</v>
      </c>
      <c r="E578" t="str">
        <f>CONCATENATE("0031020000013       ","")</f>
        <v>0031020000013       </v>
      </c>
      <c r="F578" t="str">
        <f>CONCATENATE("606670093","")</f>
        <v>606670093</v>
      </c>
      <c r="G578" t="s">
        <v>1146</v>
      </c>
      <c r="H578" t="s">
        <v>1147</v>
      </c>
      <c r="I578" t="s">
        <v>1148</v>
      </c>
      <c r="J578" t="str">
        <f aca="true" t="shared" si="72" ref="J578:J593">CONCATENATE("080301","")</f>
        <v>080301</v>
      </c>
      <c r="K578" t="s">
        <v>22</v>
      </c>
      <c r="L578" t="s">
        <v>23</v>
      </c>
      <c r="M578" t="str">
        <f t="shared" si="71"/>
        <v>1</v>
      </c>
      <c r="O578" t="str">
        <f aca="true" t="shared" si="73" ref="O578:O588">CONCATENATE("1 ","")</f>
        <v>1 </v>
      </c>
      <c r="P578">
        <v>85.95</v>
      </c>
      <c r="Q578" t="s">
        <v>24</v>
      </c>
    </row>
    <row r="579" spans="1:17" ht="15">
      <c r="A579" t="s">
        <v>17</v>
      </c>
      <c r="B579" s="1">
        <v>43152</v>
      </c>
      <c r="C579" t="s">
        <v>111</v>
      </c>
      <c r="D579" t="str">
        <f>CONCATENATE("0070005924","")</f>
        <v>0070005924</v>
      </c>
      <c r="E579" t="str">
        <f>CONCATENATE("0031020000405       ","")</f>
        <v>0031020000405       </v>
      </c>
      <c r="F579" t="str">
        <f>CONCATENATE("606670104","")</f>
        <v>606670104</v>
      </c>
      <c r="G579" t="s">
        <v>1146</v>
      </c>
      <c r="H579" t="s">
        <v>1149</v>
      </c>
      <c r="I579" t="s">
        <v>1148</v>
      </c>
      <c r="J579" t="str">
        <f t="shared" si="72"/>
        <v>080301</v>
      </c>
      <c r="K579" t="s">
        <v>22</v>
      </c>
      <c r="L579" t="s">
        <v>23</v>
      </c>
      <c r="M579" t="str">
        <f t="shared" si="71"/>
        <v>1</v>
      </c>
      <c r="O579" t="str">
        <f t="shared" si="73"/>
        <v>1 </v>
      </c>
      <c r="P579">
        <v>63.05</v>
      </c>
      <c r="Q579" t="s">
        <v>24</v>
      </c>
    </row>
    <row r="580" spans="1:17" ht="15">
      <c r="A580" t="s">
        <v>17</v>
      </c>
      <c r="B580" s="1">
        <v>43152</v>
      </c>
      <c r="C580" t="s">
        <v>111</v>
      </c>
      <c r="D580" t="str">
        <f>CONCATENATE("0070000272","")</f>
        <v>0070000272</v>
      </c>
      <c r="E580" t="str">
        <f>CONCATENATE("0031020000896       ","")</f>
        <v>0031020000896       </v>
      </c>
      <c r="F580" t="str">
        <f>CONCATENATE("606670083","")</f>
        <v>606670083</v>
      </c>
      <c r="G580" t="s">
        <v>1146</v>
      </c>
      <c r="H580" t="s">
        <v>1150</v>
      </c>
      <c r="I580" t="s">
        <v>1148</v>
      </c>
      <c r="J580" t="str">
        <f t="shared" si="72"/>
        <v>080301</v>
      </c>
      <c r="K580" t="s">
        <v>22</v>
      </c>
      <c r="L580" t="s">
        <v>23</v>
      </c>
      <c r="M580" t="str">
        <f t="shared" si="71"/>
        <v>1</v>
      </c>
      <c r="O580" t="str">
        <f t="shared" si="73"/>
        <v>1 </v>
      </c>
      <c r="P580">
        <v>11.75</v>
      </c>
      <c r="Q580" t="s">
        <v>24</v>
      </c>
    </row>
    <row r="581" spans="1:17" ht="15">
      <c r="A581" t="s">
        <v>17</v>
      </c>
      <c r="B581" s="1">
        <v>43152</v>
      </c>
      <c r="C581" t="s">
        <v>111</v>
      </c>
      <c r="D581" t="str">
        <f>CONCATENATE("0070005967","")</f>
        <v>0070005967</v>
      </c>
      <c r="E581" t="str">
        <f>CONCATENATE("0031021000170       ","")</f>
        <v>0031021000170       </v>
      </c>
      <c r="F581" t="str">
        <f>CONCATENATE("606673530","")</f>
        <v>606673530</v>
      </c>
      <c r="G581" t="s">
        <v>1151</v>
      </c>
      <c r="H581" t="s">
        <v>1152</v>
      </c>
      <c r="I581" t="s">
        <v>1153</v>
      </c>
      <c r="J581" t="str">
        <f t="shared" si="72"/>
        <v>080301</v>
      </c>
      <c r="K581" t="s">
        <v>22</v>
      </c>
      <c r="L581" t="s">
        <v>23</v>
      </c>
      <c r="M581" t="str">
        <f t="shared" si="71"/>
        <v>1</v>
      </c>
      <c r="O581" t="str">
        <f t="shared" si="73"/>
        <v>1 </v>
      </c>
      <c r="P581">
        <v>14.5</v>
      </c>
      <c r="Q581" t="s">
        <v>24</v>
      </c>
    </row>
    <row r="582" spans="1:17" ht="15">
      <c r="A582" t="s">
        <v>17</v>
      </c>
      <c r="B582" s="1">
        <v>43152</v>
      </c>
      <c r="C582" t="s">
        <v>111</v>
      </c>
      <c r="D582" t="str">
        <f>CONCATENATE("0070025186","")</f>
        <v>0070025186</v>
      </c>
      <c r="E582" t="str">
        <f>CONCATENATE("0031021000345       ","")</f>
        <v>0031021000345       </v>
      </c>
      <c r="F582" t="str">
        <f>CONCATENATE("607446447","")</f>
        <v>607446447</v>
      </c>
      <c r="G582" t="s">
        <v>1151</v>
      </c>
      <c r="H582" t="s">
        <v>1154</v>
      </c>
      <c r="I582" t="s">
        <v>1155</v>
      </c>
      <c r="J582" t="str">
        <f t="shared" si="72"/>
        <v>080301</v>
      </c>
      <c r="K582" t="s">
        <v>22</v>
      </c>
      <c r="L582" t="s">
        <v>23</v>
      </c>
      <c r="M582" t="str">
        <f t="shared" si="71"/>
        <v>1</v>
      </c>
      <c r="O582" t="str">
        <f t="shared" si="73"/>
        <v>1 </v>
      </c>
      <c r="P582">
        <v>43.9</v>
      </c>
      <c r="Q582" t="s">
        <v>24</v>
      </c>
    </row>
    <row r="583" spans="1:17" ht="15">
      <c r="A583" t="s">
        <v>17</v>
      </c>
      <c r="B583" s="1">
        <v>43152</v>
      </c>
      <c r="C583" t="s">
        <v>111</v>
      </c>
      <c r="D583" t="str">
        <f>CONCATENATE("0070006033","")</f>
        <v>0070006033</v>
      </c>
      <c r="E583" t="str">
        <f>CONCATENATE("0031021000730       ","")</f>
        <v>0031021000730       </v>
      </c>
      <c r="F583" t="str">
        <f>CONCATENATE("605088310","")</f>
        <v>605088310</v>
      </c>
      <c r="G583" t="s">
        <v>1151</v>
      </c>
      <c r="H583" t="s">
        <v>1156</v>
      </c>
      <c r="I583" t="s">
        <v>1153</v>
      </c>
      <c r="J583" t="str">
        <f t="shared" si="72"/>
        <v>080301</v>
      </c>
      <c r="K583" t="s">
        <v>22</v>
      </c>
      <c r="L583" t="s">
        <v>23</v>
      </c>
      <c r="M583" t="str">
        <f t="shared" si="71"/>
        <v>1</v>
      </c>
      <c r="O583" t="str">
        <f t="shared" si="73"/>
        <v>1 </v>
      </c>
      <c r="P583">
        <v>32.65</v>
      </c>
      <c r="Q583" t="s">
        <v>24</v>
      </c>
    </row>
    <row r="584" spans="1:17" ht="15">
      <c r="A584" t="s">
        <v>17</v>
      </c>
      <c r="B584" s="1">
        <v>43152</v>
      </c>
      <c r="C584" t="s">
        <v>111</v>
      </c>
      <c r="D584" t="str">
        <f>CONCATENATE("0070015973","")</f>
        <v>0070015973</v>
      </c>
      <c r="E584" t="str">
        <f>CONCATENATE("0031021000735       ","")</f>
        <v>0031021000735       </v>
      </c>
      <c r="F584" t="str">
        <f>CONCATENATE("607288202","")</f>
        <v>607288202</v>
      </c>
      <c r="G584" t="s">
        <v>1151</v>
      </c>
      <c r="H584" t="s">
        <v>1157</v>
      </c>
      <c r="I584" t="s">
        <v>1158</v>
      </c>
      <c r="J584" t="str">
        <f t="shared" si="72"/>
        <v>080301</v>
      </c>
      <c r="K584" t="s">
        <v>22</v>
      </c>
      <c r="L584" t="s">
        <v>23</v>
      </c>
      <c r="M584" t="str">
        <f t="shared" si="71"/>
        <v>1</v>
      </c>
      <c r="O584" t="str">
        <f t="shared" si="73"/>
        <v>1 </v>
      </c>
      <c r="P584">
        <v>23.45</v>
      </c>
      <c r="Q584" t="s">
        <v>24</v>
      </c>
    </row>
    <row r="585" spans="1:17" ht="15">
      <c r="A585" t="s">
        <v>17</v>
      </c>
      <c r="B585" s="1">
        <v>43152</v>
      </c>
      <c r="C585" t="s">
        <v>111</v>
      </c>
      <c r="D585" t="str">
        <f>CONCATENATE("0070005935","")</f>
        <v>0070005935</v>
      </c>
      <c r="E585" t="str">
        <f>CONCATENATE("0031021000833       ","")</f>
        <v>0031021000833       </v>
      </c>
      <c r="F585" t="str">
        <f>CONCATENATE("605347368","")</f>
        <v>605347368</v>
      </c>
      <c r="G585" t="s">
        <v>1151</v>
      </c>
      <c r="H585" t="s">
        <v>1159</v>
      </c>
      <c r="I585" t="s">
        <v>1148</v>
      </c>
      <c r="J585" t="str">
        <f t="shared" si="72"/>
        <v>080301</v>
      </c>
      <c r="K585" t="s">
        <v>22</v>
      </c>
      <c r="L585" t="s">
        <v>23</v>
      </c>
      <c r="M585" t="str">
        <f t="shared" si="71"/>
        <v>1</v>
      </c>
      <c r="O585" t="str">
        <f t="shared" si="73"/>
        <v>1 </v>
      </c>
      <c r="P585">
        <v>11.9</v>
      </c>
      <c r="Q585" t="s">
        <v>24</v>
      </c>
    </row>
    <row r="586" spans="1:17" ht="15">
      <c r="A586" t="s">
        <v>17</v>
      </c>
      <c r="B586" s="1">
        <v>43152</v>
      </c>
      <c r="C586" t="s">
        <v>111</v>
      </c>
      <c r="D586" t="str">
        <f>CONCATENATE("0070006059","")</f>
        <v>0070006059</v>
      </c>
      <c r="E586" t="str">
        <f>CONCATENATE("0031021000940       ","")</f>
        <v>0031021000940       </v>
      </c>
      <c r="F586" t="str">
        <f>CONCATENATE("2190711","")</f>
        <v>2190711</v>
      </c>
      <c r="G586" t="s">
        <v>1151</v>
      </c>
      <c r="H586" t="s">
        <v>1160</v>
      </c>
      <c r="I586" t="s">
        <v>1153</v>
      </c>
      <c r="J586" t="str">
        <f t="shared" si="72"/>
        <v>080301</v>
      </c>
      <c r="K586" t="s">
        <v>22</v>
      </c>
      <c r="L586" t="s">
        <v>23</v>
      </c>
      <c r="M586" t="str">
        <f t="shared" si="71"/>
        <v>1</v>
      </c>
      <c r="O586" t="str">
        <f t="shared" si="73"/>
        <v>1 </v>
      </c>
      <c r="P586">
        <v>20.65</v>
      </c>
      <c r="Q586" t="s">
        <v>24</v>
      </c>
    </row>
    <row r="587" spans="1:17" ht="15">
      <c r="A587" t="s">
        <v>17</v>
      </c>
      <c r="B587" s="1">
        <v>43152</v>
      </c>
      <c r="C587" t="s">
        <v>111</v>
      </c>
      <c r="D587" t="str">
        <f>CONCATENATE("0070017509","")</f>
        <v>0070017509</v>
      </c>
      <c r="E587" t="str">
        <f>CONCATENATE("0031021000990       ","")</f>
        <v>0031021000990       </v>
      </c>
      <c r="F587" t="str">
        <f>CONCATENATE("112654","")</f>
        <v>112654</v>
      </c>
      <c r="G587" t="s">
        <v>1151</v>
      </c>
      <c r="H587" t="s">
        <v>1161</v>
      </c>
      <c r="I587" t="s">
        <v>1162</v>
      </c>
      <c r="J587" t="str">
        <f t="shared" si="72"/>
        <v>080301</v>
      </c>
      <c r="K587" t="s">
        <v>22</v>
      </c>
      <c r="L587" t="s">
        <v>23</v>
      </c>
      <c r="M587" t="str">
        <f>CONCATENATE("3","")</f>
        <v>3</v>
      </c>
      <c r="O587" t="str">
        <f t="shared" si="73"/>
        <v>1 </v>
      </c>
      <c r="P587">
        <v>222.85</v>
      </c>
      <c r="Q587" t="s">
        <v>51</v>
      </c>
    </row>
    <row r="588" spans="1:17" ht="15">
      <c r="A588" t="s">
        <v>17</v>
      </c>
      <c r="B588" s="1">
        <v>43152</v>
      </c>
      <c r="C588" t="s">
        <v>111</v>
      </c>
      <c r="D588" t="str">
        <f>CONCATENATE("0070016221","")</f>
        <v>0070016221</v>
      </c>
      <c r="E588" t="str">
        <f>CONCATENATE("0031023002122       ","")</f>
        <v>0031023002122       </v>
      </c>
      <c r="F588" t="str">
        <f>CONCATENATE("606897106","")</f>
        <v>606897106</v>
      </c>
      <c r="G588" t="s">
        <v>1163</v>
      </c>
      <c r="H588" t="s">
        <v>1164</v>
      </c>
      <c r="I588" t="s">
        <v>1165</v>
      </c>
      <c r="J588" t="str">
        <f t="shared" si="72"/>
        <v>080301</v>
      </c>
      <c r="K588" t="s">
        <v>22</v>
      </c>
      <c r="L588" t="s">
        <v>23</v>
      </c>
      <c r="M588" t="str">
        <f aca="true" t="shared" si="74" ref="M588:M595">CONCATENATE("1","")</f>
        <v>1</v>
      </c>
      <c r="O588" t="str">
        <f t="shared" si="73"/>
        <v>1 </v>
      </c>
      <c r="P588">
        <v>23.5</v>
      </c>
      <c r="Q588" t="s">
        <v>24</v>
      </c>
    </row>
    <row r="589" spans="1:17" ht="15">
      <c r="A589" t="s">
        <v>17</v>
      </c>
      <c r="B589" s="1">
        <v>43152</v>
      </c>
      <c r="C589" t="s">
        <v>111</v>
      </c>
      <c r="D589" t="str">
        <f>CONCATENATE("0070015967","")</f>
        <v>0070015967</v>
      </c>
      <c r="E589" t="str">
        <f>CONCATENATE("0031023004045       ","")</f>
        <v>0031023004045       </v>
      </c>
      <c r="F589" t="str">
        <f>CONCATENATE("607288200","")</f>
        <v>607288200</v>
      </c>
      <c r="G589" t="s">
        <v>1163</v>
      </c>
      <c r="H589" t="s">
        <v>1166</v>
      </c>
      <c r="I589" t="s">
        <v>1167</v>
      </c>
      <c r="J589" t="str">
        <f t="shared" si="72"/>
        <v>080301</v>
      </c>
      <c r="K589" t="s">
        <v>22</v>
      </c>
      <c r="L589" t="s">
        <v>23</v>
      </c>
      <c r="M589" t="str">
        <f t="shared" si="74"/>
        <v>1</v>
      </c>
      <c r="O589" t="str">
        <f>CONCATENATE("2 ","")</f>
        <v>2 </v>
      </c>
      <c r="P589">
        <v>81.25</v>
      </c>
      <c r="Q589" t="s">
        <v>24</v>
      </c>
    </row>
    <row r="590" spans="1:17" ht="15">
      <c r="A590" t="s">
        <v>17</v>
      </c>
      <c r="B590" s="1">
        <v>43152</v>
      </c>
      <c r="C590" t="s">
        <v>111</v>
      </c>
      <c r="D590" t="str">
        <f>CONCATENATE("0070006070","")</f>
        <v>0070006070</v>
      </c>
      <c r="E590" t="str">
        <f>CONCATENATE("0031023004100       ","")</f>
        <v>0031023004100       </v>
      </c>
      <c r="F590" t="str">
        <f>CONCATENATE("605275472","")</f>
        <v>605275472</v>
      </c>
      <c r="G590" t="s">
        <v>1163</v>
      </c>
      <c r="H590" t="s">
        <v>1168</v>
      </c>
      <c r="I590" t="s">
        <v>1153</v>
      </c>
      <c r="J590" t="str">
        <f t="shared" si="72"/>
        <v>080301</v>
      </c>
      <c r="K590" t="s">
        <v>22</v>
      </c>
      <c r="L590" t="s">
        <v>23</v>
      </c>
      <c r="M590" t="str">
        <f t="shared" si="74"/>
        <v>1</v>
      </c>
      <c r="O590" t="str">
        <f>CONCATENATE("1 ","")</f>
        <v>1 </v>
      </c>
      <c r="P590">
        <v>18</v>
      </c>
      <c r="Q590" t="s">
        <v>24</v>
      </c>
    </row>
    <row r="591" spans="1:17" ht="15">
      <c r="A591" t="s">
        <v>17</v>
      </c>
      <c r="B591" s="1">
        <v>43152</v>
      </c>
      <c r="C591" t="s">
        <v>111</v>
      </c>
      <c r="D591" t="str">
        <f>CONCATENATE("0070005933","")</f>
        <v>0070005933</v>
      </c>
      <c r="E591" t="str">
        <f>CONCATENATE("0031023004180       ","")</f>
        <v>0031023004180       </v>
      </c>
      <c r="F591" t="str">
        <f>CONCATENATE("605155408","")</f>
        <v>605155408</v>
      </c>
      <c r="G591" t="s">
        <v>1163</v>
      </c>
      <c r="H591" t="s">
        <v>1169</v>
      </c>
      <c r="I591" t="s">
        <v>1148</v>
      </c>
      <c r="J591" t="str">
        <f t="shared" si="72"/>
        <v>080301</v>
      </c>
      <c r="K591" t="s">
        <v>22</v>
      </c>
      <c r="L591" t="s">
        <v>23</v>
      </c>
      <c r="M591" t="str">
        <f t="shared" si="74"/>
        <v>1</v>
      </c>
      <c r="O591" t="str">
        <f>CONCATENATE("1 ","")</f>
        <v>1 </v>
      </c>
      <c r="P591">
        <v>23.15</v>
      </c>
      <c r="Q591" t="s">
        <v>24</v>
      </c>
    </row>
    <row r="592" spans="1:17" ht="15">
      <c r="A592" t="s">
        <v>17</v>
      </c>
      <c r="B592" s="1">
        <v>43152</v>
      </c>
      <c r="C592" t="s">
        <v>111</v>
      </c>
      <c r="D592" t="str">
        <f>CONCATENATE("0070005944","")</f>
        <v>0070005944</v>
      </c>
      <c r="E592" t="str">
        <f>CONCATENATE("0031024002035       ","")</f>
        <v>0031024002035       </v>
      </c>
      <c r="F592" t="str">
        <f>CONCATENATE("2183815","")</f>
        <v>2183815</v>
      </c>
      <c r="G592" t="s">
        <v>1170</v>
      </c>
      <c r="H592" t="s">
        <v>1171</v>
      </c>
      <c r="I592" t="s">
        <v>1148</v>
      </c>
      <c r="J592" t="str">
        <f t="shared" si="72"/>
        <v>080301</v>
      </c>
      <c r="K592" t="s">
        <v>22</v>
      </c>
      <c r="L592" t="s">
        <v>23</v>
      </c>
      <c r="M592" t="str">
        <f t="shared" si="74"/>
        <v>1</v>
      </c>
      <c r="O592" t="str">
        <f>CONCATENATE("1 ","")</f>
        <v>1 </v>
      </c>
      <c r="P592">
        <v>50.8</v>
      </c>
      <c r="Q592" t="s">
        <v>24</v>
      </c>
    </row>
    <row r="593" spans="1:17" ht="15">
      <c r="A593" t="s">
        <v>17</v>
      </c>
      <c r="B593" s="1">
        <v>43152</v>
      </c>
      <c r="C593" t="s">
        <v>111</v>
      </c>
      <c r="D593" t="str">
        <f>CONCATENATE("0070005942","")</f>
        <v>0070005942</v>
      </c>
      <c r="E593" t="str">
        <f>CONCATENATE("0031024003170       ","")</f>
        <v>0031024003170       </v>
      </c>
      <c r="F593" t="str">
        <f>CONCATENATE("605349588","")</f>
        <v>605349588</v>
      </c>
      <c r="G593" t="s">
        <v>1170</v>
      </c>
      <c r="H593" t="s">
        <v>1172</v>
      </c>
      <c r="I593" t="s">
        <v>1173</v>
      </c>
      <c r="J593" t="str">
        <f t="shared" si="72"/>
        <v>080301</v>
      </c>
      <c r="K593" t="s">
        <v>22</v>
      </c>
      <c r="L593" t="s">
        <v>23</v>
      </c>
      <c r="M593" t="str">
        <f t="shared" si="74"/>
        <v>1</v>
      </c>
      <c r="O593" t="str">
        <f>CONCATENATE("1 ","")</f>
        <v>1 </v>
      </c>
      <c r="P593">
        <v>29.1</v>
      </c>
      <c r="Q593" t="s">
        <v>24</v>
      </c>
    </row>
    <row r="594" spans="1:17" ht="15">
      <c r="A594" t="s">
        <v>17</v>
      </c>
      <c r="B594" s="1">
        <v>43152</v>
      </c>
      <c r="C594" t="s">
        <v>1111</v>
      </c>
      <c r="D594" t="str">
        <f>CONCATENATE("0070006100","")</f>
        <v>0070006100</v>
      </c>
      <c r="E594" t="str">
        <f>CONCATENATE("0031025000240       ","")</f>
        <v>0031025000240       </v>
      </c>
      <c r="F594" t="str">
        <f>CONCATENATE("605155413","")</f>
        <v>605155413</v>
      </c>
      <c r="G594" t="s">
        <v>1174</v>
      </c>
      <c r="H594" t="s">
        <v>1175</v>
      </c>
      <c r="I594" t="s">
        <v>1176</v>
      </c>
      <c r="J594" t="str">
        <f aca="true" t="shared" si="75" ref="J594:J604">CONCATENATE("080309","")</f>
        <v>080309</v>
      </c>
      <c r="K594" t="s">
        <v>22</v>
      </c>
      <c r="L594" t="s">
        <v>23</v>
      </c>
      <c r="M594" t="str">
        <f t="shared" si="74"/>
        <v>1</v>
      </c>
      <c r="O594" t="str">
        <f>CONCATENATE("1 ","")</f>
        <v>1 </v>
      </c>
      <c r="P594">
        <v>11.4</v>
      </c>
      <c r="Q594" t="s">
        <v>24</v>
      </c>
    </row>
    <row r="595" spans="1:17" ht="15">
      <c r="A595" t="s">
        <v>17</v>
      </c>
      <c r="B595" s="1">
        <v>43152</v>
      </c>
      <c r="C595" t="s">
        <v>1111</v>
      </c>
      <c r="D595" t="str">
        <f>CONCATENATE("0070022987","")</f>
        <v>0070022987</v>
      </c>
      <c r="E595" t="str">
        <f>CONCATENATE("0031025000298       ","")</f>
        <v>0031025000298       </v>
      </c>
      <c r="F595" t="str">
        <f>CONCATENATE("2182059","")</f>
        <v>2182059</v>
      </c>
      <c r="G595" t="s">
        <v>1174</v>
      </c>
      <c r="H595" t="s">
        <v>1177</v>
      </c>
      <c r="I595" t="s">
        <v>1178</v>
      </c>
      <c r="J595" t="str">
        <f t="shared" si="75"/>
        <v>080309</v>
      </c>
      <c r="K595" t="s">
        <v>22</v>
      </c>
      <c r="L595" t="s">
        <v>23</v>
      </c>
      <c r="M595" t="str">
        <f t="shared" si="74"/>
        <v>1</v>
      </c>
      <c r="O595" t="str">
        <f>CONCATENATE("3 ","")</f>
        <v>3 </v>
      </c>
      <c r="P595">
        <v>19</v>
      </c>
      <c r="Q595" t="s">
        <v>24</v>
      </c>
    </row>
    <row r="596" spans="1:17" ht="15">
      <c r="A596" t="s">
        <v>17</v>
      </c>
      <c r="B596" s="1">
        <v>43152</v>
      </c>
      <c r="C596" t="s">
        <v>1111</v>
      </c>
      <c r="D596" t="str">
        <f>CONCATENATE("0070016999","")</f>
        <v>0070016999</v>
      </c>
      <c r="E596" t="str">
        <f>CONCATENATE("0031025000335       ","")</f>
        <v>0031025000335       </v>
      </c>
      <c r="F596" t="str">
        <f>CONCATENATE("607428894","")</f>
        <v>607428894</v>
      </c>
      <c r="G596" t="s">
        <v>1174</v>
      </c>
      <c r="H596" t="s">
        <v>1179</v>
      </c>
      <c r="I596" t="s">
        <v>1180</v>
      </c>
      <c r="J596" t="str">
        <f t="shared" si="75"/>
        <v>080309</v>
      </c>
      <c r="K596" t="s">
        <v>22</v>
      </c>
      <c r="L596" t="s">
        <v>23</v>
      </c>
      <c r="M596" t="str">
        <f>CONCATENATE("3","")</f>
        <v>3</v>
      </c>
      <c r="O596" t="str">
        <f>CONCATENATE("1 ","")</f>
        <v>1 </v>
      </c>
      <c r="P596">
        <v>4.2</v>
      </c>
      <c r="Q596" t="s">
        <v>51</v>
      </c>
    </row>
    <row r="597" spans="1:17" ht="15">
      <c r="A597" t="s">
        <v>17</v>
      </c>
      <c r="B597" s="1">
        <v>43152</v>
      </c>
      <c r="C597" t="s">
        <v>1111</v>
      </c>
      <c r="D597" t="str">
        <f>CONCATENATE("0070006135","")</f>
        <v>0070006135</v>
      </c>
      <c r="E597" t="str">
        <f>CONCATENATE("0031025000580       ","")</f>
        <v>0031025000580       </v>
      </c>
      <c r="F597" t="str">
        <f>CONCATENATE("606854823","")</f>
        <v>606854823</v>
      </c>
      <c r="G597" t="s">
        <v>1181</v>
      </c>
      <c r="H597" t="s">
        <v>1182</v>
      </c>
      <c r="I597" t="s">
        <v>1176</v>
      </c>
      <c r="J597" t="str">
        <f t="shared" si="75"/>
        <v>080309</v>
      </c>
      <c r="K597" t="s">
        <v>22</v>
      </c>
      <c r="L597" t="s">
        <v>23</v>
      </c>
      <c r="M597" t="str">
        <f aca="true" t="shared" si="76" ref="M597:M628">CONCATENATE("1","")</f>
        <v>1</v>
      </c>
      <c r="O597" t="str">
        <f>CONCATENATE("1 ","")</f>
        <v>1 </v>
      </c>
      <c r="P597">
        <v>19.6</v>
      </c>
      <c r="Q597" t="s">
        <v>24</v>
      </c>
    </row>
    <row r="598" spans="1:17" ht="15">
      <c r="A598" t="s">
        <v>17</v>
      </c>
      <c r="B598" s="1">
        <v>43152</v>
      </c>
      <c r="C598" t="s">
        <v>1111</v>
      </c>
      <c r="D598" t="str">
        <f>CONCATENATE("0070012142","")</f>
        <v>0070012142</v>
      </c>
      <c r="E598" t="str">
        <f>CONCATENATE("0031025000642       ","")</f>
        <v>0031025000642       </v>
      </c>
      <c r="F598" t="str">
        <f>CONCATENATE("608094547","")</f>
        <v>608094547</v>
      </c>
      <c r="G598" t="s">
        <v>1174</v>
      </c>
      <c r="H598" t="s">
        <v>1183</v>
      </c>
      <c r="I598" t="s">
        <v>1184</v>
      </c>
      <c r="J598" t="str">
        <f t="shared" si="75"/>
        <v>080309</v>
      </c>
      <c r="K598" t="s">
        <v>22</v>
      </c>
      <c r="L598" t="s">
        <v>23</v>
      </c>
      <c r="M598" t="str">
        <f t="shared" si="76"/>
        <v>1</v>
      </c>
      <c r="O598" t="str">
        <f>CONCATENATE("1 ","")</f>
        <v>1 </v>
      </c>
      <c r="P598">
        <v>1243.03</v>
      </c>
      <c r="Q598" t="s">
        <v>24</v>
      </c>
    </row>
    <row r="599" spans="1:17" ht="15">
      <c r="A599" t="s">
        <v>17</v>
      </c>
      <c r="B599" s="1">
        <v>43152</v>
      </c>
      <c r="C599" t="s">
        <v>1111</v>
      </c>
      <c r="D599" t="str">
        <f>CONCATENATE("0070006141","")</f>
        <v>0070006141</v>
      </c>
      <c r="E599" t="str">
        <f>CONCATENATE("0031025000650       ","")</f>
        <v>0031025000650       </v>
      </c>
      <c r="F599" t="str">
        <f>CONCATENATE("607450122","")</f>
        <v>607450122</v>
      </c>
      <c r="G599" t="s">
        <v>1181</v>
      </c>
      <c r="H599" t="s">
        <v>1185</v>
      </c>
      <c r="I599" t="s">
        <v>1176</v>
      </c>
      <c r="J599" t="str">
        <f t="shared" si="75"/>
        <v>080309</v>
      </c>
      <c r="K599" t="s">
        <v>22</v>
      </c>
      <c r="L599" t="s">
        <v>23</v>
      </c>
      <c r="M599" t="str">
        <f t="shared" si="76"/>
        <v>1</v>
      </c>
      <c r="O599" t="str">
        <f>CONCATENATE("2 ","")</f>
        <v>2 </v>
      </c>
      <c r="P599">
        <v>31.25</v>
      </c>
      <c r="Q599" t="s">
        <v>24</v>
      </c>
    </row>
    <row r="600" spans="1:17" ht="15">
      <c r="A600" t="s">
        <v>17</v>
      </c>
      <c r="B600" s="1">
        <v>43152</v>
      </c>
      <c r="C600" t="s">
        <v>1111</v>
      </c>
      <c r="D600" t="str">
        <f>CONCATENATE("0070009798","")</f>
        <v>0070009798</v>
      </c>
      <c r="E600" t="str">
        <f>CONCATENATE("0031025000687       ","")</f>
        <v>0031025000687       </v>
      </c>
      <c r="F600" t="str">
        <f>CONCATENATE("607450132","")</f>
        <v>607450132</v>
      </c>
      <c r="G600" t="s">
        <v>1181</v>
      </c>
      <c r="H600" t="s">
        <v>1186</v>
      </c>
      <c r="I600" t="s">
        <v>1187</v>
      </c>
      <c r="J600" t="str">
        <f t="shared" si="75"/>
        <v>080309</v>
      </c>
      <c r="K600" t="s">
        <v>22</v>
      </c>
      <c r="L600" t="s">
        <v>23</v>
      </c>
      <c r="M600" t="str">
        <f t="shared" si="76"/>
        <v>1</v>
      </c>
      <c r="O600" t="str">
        <f>CONCATENATE("2 ","")</f>
        <v>2 </v>
      </c>
      <c r="P600">
        <v>78.8</v>
      </c>
      <c r="Q600" t="s">
        <v>24</v>
      </c>
    </row>
    <row r="601" spans="1:17" ht="15">
      <c r="A601" t="s">
        <v>17</v>
      </c>
      <c r="B601" s="1">
        <v>43152</v>
      </c>
      <c r="C601" t="s">
        <v>1111</v>
      </c>
      <c r="D601" t="str">
        <f>CONCATENATE("0070006147","")</f>
        <v>0070006147</v>
      </c>
      <c r="E601" t="str">
        <f>CONCATENATE("0031025000690       ","")</f>
        <v>0031025000690       </v>
      </c>
      <c r="F601" t="str">
        <f>CONCATENATE("605754415","")</f>
        <v>605754415</v>
      </c>
      <c r="G601" t="s">
        <v>1181</v>
      </c>
      <c r="H601" t="s">
        <v>1188</v>
      </c>
      <c r="I601" t="s">
        <v>1176</v>
      </c>
      <c r="J601" t="str">
        <f t="shared" si="75"/>
        <v>080309</v>
      </c>
      <c r="K601" t="s">
        <v>22</v>
      </c>
      <c r="L601" t="s">
        <v>23</v>
      </c>
      <c r="M601" t="str">
        <f t="shared" si="76"/>
        <v>1</v>
      </c>
      <c r="O601" t="str">
        <f>CONCATENATE("2 ","")</f>
        <v>2 </v>
      </c>
      <c r="P601">
        <v>21.1</v>
      </c>
      <c r="Q601" t="s">
        <v>24</v>
      </c>
    </row>
    <row r="602" spans="1:17" ht="15">
      <c r="A602" t="s">
        <v>17</v>
      </c>
      <c r="B602" s="1">
        <v>43152</v>
      </c>
      <c r="C602" t="s">
        <v>1111</v>
      </c>
      <c r="D602" t="str">
        <f>CONCATENATE("0070022427","")</f>
        <v>0070022427</v>
      </c>
      <c r="E602" t="str">
        <f>CONCATENATE("0031025000720       ","")</f>
        <v>0031025000720       </v>
      </c>
      <c r="F602" t="str">
        <f>CONCATENATE("2129230","")</f>
        <v>2129230</v>
      </c>
      <c r="G602" t="s">
        <v>1181</v>
      </c>
      <c r="H602" t="s">
        <v>1189</v>
      </c>
      <c r="I602" t="s">
        <v>1190</v>
      </c>
      <c r="J602" t="str">
        <f t="shared" si="75"/>
        <v>080309</v>
      </c>
      <c r="K602" t="s">
        <v>22</v>
      </c>
      <c r="L602" t="s">
        <v>23</v>
      </c>
      <c r="M602" t="str">
        <f t="shared" si="76"/>
        <v>1</v>
      </c>
      <c r="O602" t="str">
        <f>CONCATENATE("1 ","")</f>
        <v>1 </v>
      </c>
      <c r="P602">
        <v>32.8</v>
      </c>
      <c r="Q602" t="s">
        <v>24</v>
      </c>
    </row>
    <row r="603" spans="1:17" ht="15">
      <c r="A603" t="s">
        <v>17</v>
      </c>
      <c r="B603" s="1">
        <v>43152</v>
      </c>
      <c r="C603" t="s">
        <v>1111</v>
      </c>
      <c r="D603" t="str">
        <f>CONCATENATE("0070016154","")</f>
        <v>0070016154</v>
      </c>
      <c r="E603" t="str">
        <f>CONCATENATE("0031030000022       ","")</f>
        <v>0031030000022       </v>
      </c>
      <c r="F603" t="str">
        <f>CONCATENATE("607288211","")</f>
        <v>607288211</v>
      </c>
      <c r="G603" t="s">
        <v>1191</v>
      </c>
      <c r="H603" t="s">
        <v>1192</v>
      </c>
      <c r="I603" t="s">
        <v>1193</v>
      </c>
      <c r="J603" t="str">
        <f t="shared" si="75"/>
        <v>080309</v>
      </c>
      <c r="K603" t="s">
        <v>22</v>
      </c>
      <c r="L603" t="s">
        <v>23</v>
      </c>
      <c r="M603" t="str">
        <f t="shared" si="76"/>
        <v>1</v>
      </c>
      <c r="O603" t="str">
        <f>CONCATENATE("1 ","")</f>
        <v>1 </v>
      </c>
      <c r="P603">
        <v>28.55</v>
      </c>
      <c r="Q603" t="s">
        <v>24</v>
      </c>
    </row>
    <row r="604" spans="1:17" ht="15">
      <c r="A604" t="s">
        <v>17</v>
      </c>
      <c r="B604" s="1">
        <v>43152</v>
      </c>
      <c r="C604" t="s">
        <v>1111</v>
      </c>
      <c r="D604" t="str">
        <f>CONCATENATE("0070022113","")</f>
        <v>0070022113</v>
      </c>
      <c r="E604" t="str">
        <f>CONCATENATE("0031030000332       ","")</f>
        <v>0031030000332       </v>
      </c>
      <c r="F604" t="str">
        <f>CONCATENATE("2022706","")</f>
        <v>2022706</v>
      </c>
      <c r="G604" t="s">
        <v>1191</v>
      </c>
      <c r="H604" t="s">
        <v>1194</v>
      </c>
      <c r="I604" t="s">
        <v>1195</v>
      </c>
      <c r="J604" t="str">
        <f t="shared" si="75"/>
        <v>080309</v>
      </c>
      <c r="K604" t="s">
        <v>22</v>
      </c>
      <c r="L604" t="s">
        <v>23</v>
      </c>
      <c r="M604" t="str">
        <f t="shared" si="76"/>
        <v>1</v>
      </c>
      <c r="O604" t="str">
        <f>CONCATENATE("4 ","")</f>
        <v>4 </v>
      </c>
      <c r="P604">
        <v>33.55</v>
      </c>
      <c r="Q604" t="s">
        <v>51</v>
      </c>
    </row>
    <row r="605" spans="1:17" ht="15">
      <c r="A605" t="s">
        <v>17</v>
      </c>
      <c r="B605" s="1">
        <v>43152</v>
      </c>
      <c r="C605" t="s">
        <v>376</v>
      </c>
      <c r="D605" t="str">
        <f>CONCATENATE("0070021304","")</f>
        <v>0070021304</v>
      </c>
      <c r="E605" t="str">
        <f>CONCATENATE("0031035000025       ","")</f>
        <v>0031035000025       </v>
      </c>
      <c r="F605" t="str">
        <f>CONCATENATE("1938074","")</f>
        <v>1938074</v>
      </c>
      <c r="G605" t="s">
        <v>1196</v>
      </c>
      <c r="H605" t="s">
        <v>1197</v>
      </c>
      <c r="I605" t="s">
        <v>1198</v>
      </c>
      <c r="J605" t="str">
        <f>CONCATENATE("080302","")</f>
        <v>080302</v>
      </c>
      <c r="K605" t="s">
        <v>22</v>
      </c>
      <c r="L605" t="s">
        <v>23</v>
      </c>
      <c r="M605" t="str">
        <f t="shared" si="76"/>
        <v>1</v>
      </c>
      <c r="O605" t="str">
        <f>CONCATENATE("1 ","")</f>
        <v>1 </v>
      </c>
      <c r="P605">
        <v>34.35</v>
      </c>
      <c r="Q605" t="s">
        <v>24</v>
      </c>
    </row>
    <row r="606" spans="1:17" ht="15">
      <c r="A606" t="s">
        <v>17</v>
      </c>
      <c r="B606" s="1">
        <v>43152</v>
      </c>
      <c r="C606" t="s">
        <v>1111</v>
      </c>
      <c r="D606" t="str">
        <f>CONCATENATE("0070022830","")</f>
        <v>0070022830</v>
      </c>
      <c r="E606" t="str">
        <f>CONCATENATE("0031035000028       ","")</f>
        <v>0031035000028       </v>
      </c>
      <c r="F606" t="str">
        <f>CONCATENATE("2182108","")</f>
        <v>2182108</v>
      </c>
      <c r="G606" t="s">
        <v>1196</v>
      </c>
      <c r="H606" t="s">
        <v>1199</v>
      </c>
      <c r="I606" t="s">
        <v>1200</v>
      </c>
      <c r="J606" t="str">
        <f>CONCATENATE("080309","")</f>
        <v>080309</v>
      </c>
      <c r="K606" t="s">
        <v>22</v>
      </c>
      <c r="L606" t="s">
        <v>23</v>
      </c>
      <c r="M606" t="str">
        <f t="shared" si="76"/>
        <v>1</v>
      </c>
      <c r="O606" t="str">
        <f>CONCATENATE("2 ","")</f>
        <v>2 </v>
      </c>
      <c r="P606">
        <v>398.9</v>
      </c>
      <c r="Q606" t="s">
        <v>24</v>
      </c>
    </row>
    <row r="607" spans="1:17" ht="15">
      <c r="A607" t="s">
        <v>17</v>
      </c>
      <c r="B607" s="1">
        <v>43152</v>
      </c>
      <c r="C607" t="s">
        <v>1111</v>
      </c>
      <c r="D607" t="str">
        <f>CONCATENATE("0070006269","")</f>
        <v>0070006269</v>
      </c>
      <c r="E607" t="str">
        <f>CONCATENATE("0031035000030       ","")</f>
        <v>0031035000030       </v>
      </c>
      <c r="F607" t="str">
        <f>CONCATENATE("607447975","")</f>
        <v>607447975</v>
      </c>
      <c r="G607" t="s">
        <v>1196</v>
      </c>
      <c r="H607" t="s">
        <v>1201</v>
      </c>
      <c r="I607" t="s">
        <v>1202</v>
      </c>
      <c r="J607" t="str">
        <f>CONCATENATE("080309","")</f>
        <v>080309</v>
      </c>
      <c r="K607" t="s">
        <v>22</v>
      </c>
      <c r="L607" t="s">
        <v>23</v>
      </c>
      <c r="M607" t="str">
        <f t="shared" si="76"/>
        <v>1</v>
      </c>
      <c r="O607" t="str">
        <f>CONCATENATE("1 ","")</f>
        <v>1 </v>
      </c>
      <c r="P607">
        <v>12</v>
      </c>
      <c r="Q607" t="s">
        <v>24</v>
      </c>
    </row>
    <row r="608" spans="1:17" ht="15">
      <c r="A608" t="s">
        <v>17</v>
      </c>
      <c r="B608" s="1">
        <v>43152</v>
      </c>
      <c r="C608" t="s">
        <v>1111</v>
      </c>
      <c r="D608" t="str">
        <f>CONCATENATE("0070006271","")</f>
        <v>0070006271</v>
      </c>
      <c r="E608" t="str">
        <f>CONCATENATE("0031035000050       ","")</f>
        <v>0031035000050       </v>
      </c>
      <c r="F608" t="str">
        <f>CONCATENATE("607447974","")</f>
        <v>607447974</v>
      </c>
      <c r="G608" t="s">
        <v>1196</v>
      </c>
      <c r="H608" t="s">
        <v>1203</v>
      </c>
      <c r="I608" t="s">
        <v>1202</v>
      </c>
      <c r="J608" t="str">
        <f>CONCATENATE("080309","")</f>
        <v>080309</v>
      </c>
      <c r="K608" t="s">
        <v>22</v>
      </c>
      <c r="L608" t="s">
        <v>23</v>
      </c>
      <c r="M608" t="str">
        <f t="shared" si="76"/>
        <v>1</v>
      </c>
      <c r="O608" t="str">
        <f>CONCATENATE("2 ","")</f>
        <v>2 </v>
      </c>
      <c r="P608">
        <v>102.85</v>
      </c>
      <c r="Q608" t="s">
        <v>24</v>
      </c>
    </row>
    <row r="609" spans="1:17" ht="15">
      <c r="A609" t="s">
        <v>17</v>
      </c>
      <c r="B609" s="1">
        <v>43152</v>
      </c>
      <c r="C609" t="s">
        <v>1111</v>
      </c>
      <c r="D609" t="str">
        <f>CONCATENATE("0070006275","")</f>
        <v>0070006275</v>
      </c>
      <c r="E609" t="str">
        <f>CONCATENATE("0031035000080       ","")</f>
        <v>0031035000080       </v>
      </c>
      <c r="F609" t="str">
        <f>CONCATENATE("605292287","")</f>
        <v>605292287</v>
      </c>
      <c r="G609" t="s">
        <v>1196</v>
      </c>
      <c r="H609" t="s">
        <v>1204</v>
      </c>
      <c r="I609" t="s">
        <v>1202</v>
      </c>
      <c r="J609" t="str">
        <f>CONCATENATE("080309","")</f>
        <v>080309</v>
      </c>
      <c r="K609" t="s">
        <v>22</v>
      </c>
      <c r="L609" t="s">
        <v>23</v>
      </c>
      <c r="M609" t="str">
        <f t="shared" si="76"/>
        <v>1</v>
      </c>
      <c r="O609" t="str">
        <f>CONCATENATE("1 ","")</f>
        <v>1 </v>
      </c>
      <c r="P609">
        <v>40.05</v>
      </c>
      <c r="Q609" t="s">
        <v>24</v>
      </c>
    </row>
    <row r="610" spans="1:17" ht="15">
      <c r="A610" t="s">
        <v>17</v>
      </c>
      <c r="B610" s="1">
        <v>43152</v>
      </c>
      <c r="C610" t="s">
        <v>1111</v>
      </c>
      <c r="D610" t="str">
        <f>CONCATENATE("0070017500","")</f>
        <v>0070017500</v>
      </c>
      <c r="E610" t="str">
        <f>CONCATENATE("0031035000105       ","")</f>
        <v>0031035000105       </v>
      </c>
      <c r="F610" t="str">
        <f>CONCATENATE("605626358","")</f>
        <v>605626358</v>
      </c>
      <c r="G610" t="s">
        <v>1196</v>
      </c>
      <c r="H610" t="s">
        <v>1205</v>
      </c>
      <c r="I610" t="s">
        <v>1206</v>
      </c>
      <c r="J610" t="str">
        <f>CONCATENATE("080309","")</f>
        <v>080309</v>
      </c>
      <c r="K610" t="s">
        <v>22</v>
      </c>
      <c r="L610" t="s">
        <v>23</v>
      </c>
      <c r="M610" t="str">
        <f t="shared" si="76"/>
        <v>1</v>
      </c>
      <c r="O610" t="str">
        <f>CONCATENATE("2 ","")</f>
        <v>2 </v>
      </c>
      <c r="P610">
        <v>67.95</v>
      </c>
      <c r="Q610" t="s">
        <v>24</v>
      </c>
    </row>
    <row r="611" spans="1:17" ht="15">
      <c r="A611" t="s">
        <v>17</v>
      </c>
      <c r="B611" s="1">
        <v>43152</v>
      </c>
      <c r="C611" t="s">
        <v>376</v>
      </c>
      <c r="D611" t="str">
        <f>CONCATENATE("0070024084","")</f>
        <v>0070024084</v>
      </c>
      <c r="E611" t="str">
        <f>CONCATENATE("0031035000195       ","")</f>
        <v>0031035000195       </v>
      </c>
      <c r="F611" t="str">
        <f>CONCATENATE("607092323","")</f>
        <v>607092323</v>
      </c>
      <c r="G611" t="s">
        <v>1196</v>
      </c>
      <c r="H611" t="s">
        <v>1207</v>
      </c>
      <c r="I611" t="s">
        <v>1208</v>
      </c>
      <c r="J611" t="str">
        <f aca="true" t="shared" si="77" ref="J611:J629">CONCATENATE("080302","")</f>
        <v>080302</v>
      </c>
      <c r="K611" t="s">
        <v>22</v>
      </c>
      <c r="L611" t="s">
        <v>23</v>
      </c>
      <c r="M611" t="str">
        <f t="shared" si="76"/>
        <v>1</v>
      </c>
      <c r="O611" t="str">
        <f>CONCATENATE("5 ","")</f>
        <v>5 </v>
      </c>
      <c r="P611">
        <v>42.05</v>
      </c>
      <c r="Q611" t="s">
        <v>24</v>
      </c>
    </row>
    <row r="612" spans="1:17" ht="15">
      <c r="A612" t="s">
        <v>17</v>
      </c>
      <c r="B612" s="1">
        <v>43152</v>
      </c>
      <c r="C612" t="s">
        <v>376</v>
      </c>
      <c r="D612" t="str">
        <f>CONCATENATE("0070006298","")</f>
        <v>0070006298</v>
      </c>
      <c r="E612" t="str">
        <f>CONCATENATE("0031035000300       ","")</f>
        <v>0031035000300       </v>
      </c>
      <c r="F612" t="str">
        <f>CONCATENATE("607447947","")</f>
        <v>607447947</v>
      </c>
      <c r="G612" t="s">
        <v>1196</v>
      </c>
      <c r="H612" t="s">
        <v>1209</v>
      </c>
      <c r="I612" t="s">
        <v>1202</v>
      </c>
      <c r="J612" t="str">
        <f t="shared" si="77"/>
        <v>080302</v>
      </c>
      <c r="K612" t="s">
        <v>22</v>
      </c>
      <c r="L612" t="s">
        <v>23</v>
      </c>
      <c r="M612" t="str">
        <f t="shared" si="76"/>
        <v>1</v>
      </c>
      <c r="O612" t="str">
        <f>CONCATENATE("1 ","")</f>
        <v>1 </v>
      </c>
      <c r="P612">
        <v>33.15</v>
      </c>
      <c r="Q612" t="s">
        <v>24</v>
      </c>
    </row>
    <row r="613" spans="1:17" ht="15">
      <c r="A613" t="s">
        <v>17</v>
      </c>
      <c r="B613" s="1">
        <v>43152</v>
      </c>
      <c r="C613" t="s">
        <v>376</v>
      </c>
      <c r="D613" t="str">
        <f>CONCATENATE("0070006329","")</f>
        <v>0070006329</v>
      </c>
      <c r="E613" t="str">
        <f>CONCATENATE("0031035000580       ","")</f>
        <v>0031035000580       </v>
      </c>
      <c r="F613" t="str">
        <f>CONCATENATE("2190716","")</f>
        <v>2190716</v>
      </c>
      <c r="G613" t="s">
        <v>1196</v>
      </c>
      <c r="H613" t="s">
        <v>1210</v>
      </c>
      <c r="I613" t="s">
        <v>1202</v>
      </c>
      <c r="J613" t="str">
        <f t="shared" si="77"/>
        <v>080302</v>
      </c>
      <c r="K613" t="s">
        <v>22</v>
      </c>
      <c r="L613" t="s">
        <v>23</v>
      </c>
      <c r="M613" t="str">
        <f t="shared" si="76"/>
        <v>1</v>
      </c>
      <c r="O613" t="str">
        <f>CONCATENATE("3 ","")</f>
        <v>3 </v>
      </c>
      <c r="P613">
        <v>217.9</v>
      </c>
      <c r="Q613" t="s">
        <v>24</v>
      </c>
    </row>
    <row r="614" spans="1:17" ht="15">
      <c r="A614" t="s">
        <v>17</v>
      </c>
      <c r="B614" s="1">
        <v>43152</v>
      </c>
      <c r="C614" t="s">
        <v>376</v>
      </c>
      <c r="D614" t="str">
        <f>CONCATENATE("0070006338","")</f>
        <v>0070006338</v>
      </c>
      <c r="E614" t="str">
        <f>CONCATENATE("0031035000630       ","")</f>
        <v>0031035000630       </v>
      </c>
      <c r="F614" t="str">
        <f>CONCATENATE("607447973","")</f>
        <v>607447973</v>
      </c>
      <c r="G614" t="s">
        <v>1196</v>
      </c>
      <c r="H614" t="s">
        <v>1211</v>
      </c>
      <c r="I614" t="s">
        <v>1202</v>
      </c>
      <c r="J614" t="str">
        <f t="shared" si="77"/>
        <v>080302</v>
      </c>
      <c r="K614" t="s">
        <v>22</v>
      </c>
      <c r="L614" t="s">
        <v>23</v>
      </c>
      <c r="M614" t="str">
        <f t="shared" si="76"/>
        <v>1</v>
      </c>
      <c r="O614" t="str">
        <f>CONCATENATE("1 ","")</f>
        <v>1 </v>
      </c>
      <c r="P614">
        <v>10.65</v>
      </c>
      <c r="Q614" t="s">
        <v>24</v>
      </c>
    </row>
    <row r="615" spans="1:17" ht="15">
      <c r="A615" t="s">
        <v>17</v>
      </c>
      <c r="B615" s="1">
        <v>43152</v>
      </c>
      <c r="C615" t="s">
        <v>376</v>
      </c>
      <c r="D615" t="str">
        <f>CONCATENATE("0070006347","")</f>
        <v>0070006347</v>
      </c>
      <c r="E615" t="str">
        <f>CONCATENATE("0031035000700       ","")</f>
        <v>0031035000700       </v>
      </c>
      <c r="F615" t="str">
        <f>CONCATENATE("606929671","")</f>
        <v>606929671</v>
      </c>
      <c r="G615" t="s">
        <v>1196</v>
      </c>
      <c r="H615" t="s">
        <v>1212</v>
      </c>
      <c r="I615" t="s">
        <v>1202</v>
      </c>
      <c r="J615" t="str">
        <f t="shared" si="77"/>
        <v>080302</v>
      </c>
      <c r="K615" t="s">
        <v>22</v>
      </c>
      <c r="L615" t="s">
        <v>23</v>
      </c>
      <c r="M615" t="str">
        <f t="shared" si="76"/>
        <v>1</v>
      </c>
      <c r="O615" t="str">
        <f>CONCATENATE("1 ","")</f>
        <v>1 </v>
      </c>
      <c r="P615">
        <v>23.35</v>
      </c>
      <c r="Q615" t="s">
        <v>24</v>
      </c>
    </row>
    <row r="616" spans="1:17" ht="15">
      <c r="A616" t="s">
        <v>17</v>
      </c>
      <c r="B616" s="1">
        <v>43152</v>
      </c>
      <c r="C616" t="s">
        <v>376</v>
      </c>
      <c r="D616" t="str">
        <f>CONCATENATE("0070017514","")</f>
        <v>0070017514</v>
      </c>
      <c r="E616" t="str">
        <f>CONCATENATE("0031036000095       ","")</f>
        <v>0031036000095       </v>
      </c>
      <c r="F616" t="str">
        <f>CONCATENATE("605626362","")</f>
        <v>605626362</v>
      </c>
      <c r="G616" t="s">
        <v>1213</v>
      </c>
      <c r="H616" t="s">
        <v>1214</v>
      </c>
      <c r="I616" t="s">
        <v>1215</v>
      </c>
      <c r="J616" t="str">
        <f t="shared" si="77"/>
        <v>080302</v>
      </c>
      <c r="K616" t="s">
        <v>22</v>
      </c>
      <c r="L616" t="s">
        <v>23</v>
      </c>
      <c r="M616" t="str">
        <f t="shared" si="76"/>
        <v>1</v>
      </c>
      <c r="O616" t="str">
        <f>CONCATENATE("1 ","")</f>
        <v>1 </v>
      </c>
      <c r="P616">
        <v>24.95</v>
      </c>
      <c r="Q616" t="s">
        <v>24</v>
      </c>
    </row>
    <row r="617" spans="1:17" ht="15">
      <c r="A617" t="s">
        <v>17</v>
      </c>
      <c r="B617" s="1">
        <v>43152</v>
      </c>
      <c r="C617" t="s">
        <v>376</v>
      </c>
      <c r="D617" t="str">
        <f>CONCATENATE("0070006372","")</f>
        <v>0070006372</v>
      </c>
      <c r="E617" t="str">
        <f>CONCATENATE("0031036000150       ","")</f>
        <v>0031036000150       </v>
      </c>
      <c r="F617" t="str">
        <f>CONCATENATE("605284933","")</f>
        <v>605284933</v>
      </c>
      <c r="G617" t="s">
        <v>1213</v>
      </c>
      <c r="H617" t="s">
        <v>1216</v>
      </c>
      <c r="I617" t="s">
        <v>1202</v>
      </c>
      <c r="J617" t="str">
        <f t="shared" si="77"/>
        <v>080302</v>
      </c>
      <c r="K617" t="s">
        <v>22</v>
      </c>
      <c r="L617" t="s">
        <v>23</v>
      </c>
      <c r="M617" t="str">
        <f t="shared" si="76"/>
        <v>1</v>
      </c>
      <c r="O617" t="str">
        <f>CONCATENATE("1 ","")</f>
        <v>1 </v>
      </c>
      <c r="P617">
        <v>16.9</v>
      </c>
      <c r="Q617" t="s">
        <v>24</v>
      </c>
    </row>
    <row r="618" spans="1:17" ht="15">
      <c r="A618" t="s">
        <v>17</v>
      </c>
      <c r="B618" s="1">
        <v>43152</v>
      </c>
      <c r="C618" t="s">
        <v>376</v>
      </c>
      <c r="D618" t="str">
        <f>CONCATENATE("0070006378","")</f>
        <v>0070006378</v>
      </c>
      <c r="E618" t="str">
        <f>CONCATENATE("0031036000205       ","")</f>
        <v>0031036000205       </v>
      </c>
      <c r="F618" t="str">
        <f>CONCATENATE("607447953","")</f>
        <v>607447953</v>
      </c>
      <c r="G618" t="s">
        <v>1217</v>
      </c>
      <c r="H618" t="s">
        <v>1218</v>
      </c>
      <c r="I618" t="s">
        <v>1202</v>
      </c>
      <c r="J618" t="str">
        <f t="shared" si="77"/>
        <v>080302</v>
      </c>
      <c r="K618" t="s">
        <v>22</v>
      </c>
      <c r="L618" t="s">
        <v>23</v>
      </c>
      <c r="M618" t="str">
        <f t="shared" si="76"/>
        <v>1</v>
      </c>
      <c r="O618" t="str">
        <f>CONCATENATE("1 ","")</f>
        <v>1 </v>
      </c>
      <c r="P618">
        <v>59.2</v>
      </c>
      <c r="Q618" t="s">
        <v>24</v>
      </c>
    </row>
    <row r="619" spans="1:17" ht="15">
      <c r="A619" t="s">
        <v>17</v>
      </c>
      <c r="B619" s="1">
        <v>43152</v>
      </c>
      <c r="C619" t="s">
        <v>376</v>
      </c>
      <c r="D619" t="str">
        <f>CONCATENATE("0070022657","")</f>
        <v>0070022657</v>
      </c>
      <c r="E619" t="str">
        <f>CONCATENATE("0031036000208       ","")</f>
        <v>0031036000208       </v>
      </c>
      <c r="F619" t="str">
        <f>CONCATENATE("2190049","")</f>
        <v>2190049</v>
      </c>
      <c r="G619" t="s">
        <v>1217</v>
      </c>
      <c r="H619" t="s">
        <v>1219</v>
      </c>
      <c r="I619" t="s">
        <v>1220</v>
      </c>
      <c r="J619" t="str">
        <f t="shared" si="77"/>
        <v>080302</v>
      </c>
      <c r="K619" t="s">
        <v>22</v>
      </c>
      <c r="L619" t="s">
        <v>23</v>
      </c>
      <c r="M619" t="str">
        <f t="shared" si="76"/>
        <v>1</v>
      </c>
      <c r="O619" t="str">
        <f>CONCATENATE("2 ","")</f>
        <v>2 </v>
      </c>
      <c r="P619">
        <v>17.55</v>
      </c>
      <c r="Q619" t="s">
        <v>24</v>
      </c>
    </row>
    <row r="620" spans="1:17" ht="15">
      <c r="A620" t="s">
        <v>17</v>
      </c>
      <c r="B620" s="1">
        <v>43152</v>
      </c>
      <c r="C620" t="s">
        <v>376</v>
      </c>
      <c r="D620" t="str">
        <f>CONCATENATE("0070006379","")</f>
        <v>0070006379</v>
      </c>
      <c r="E620" t="str">
        <f>CONCATENATE("0031036000210       ","")</f>
        <v>0031036000210       </v>
      </c>
      <c r="F620" t="str">
        <f>CONCATENATE("2183711","")</f>
        <v>2183711</v>
      </c>
      <c r="G620" t="s">
        <v>1217</v>
      </c>
      <c r="H620" t="s">
        <v>1221</v>
      </c>
      <c r="I620" t="s">
        <v>1202</v>
      </c>
      <c r="J620" t="str">
        <f t="shared" si="77"/>
        <v>080302</v>
      </c>
      <c r="K620" t="s">
        <v>22</v>
      </c>
      <c r="L620" t="s">
        <v>23</v>
      </c>
      <c r="M620" t="str">
        <f t="shared" si="76"/>
        <v>1</v>
      </c>
      <c r="O620" t="str">
        <f>CONCATENATE("2 ","")</f>
        <v>2 </v>
      </c>
      <c r="P620">
        <v>34.1</v>
      </c>
      <c r="Q620" t="s">
        <v>24</v>
      </c>
    </row>
    <row r="621" spans="1:17" ht="15">
      <c r="A621" t="s">
        <v>17</v>
      </c>
      <c r="B621" s="1">
        <v>43152</v>
      </c>
      <c r="C621" t="s">
        <v>376</v>
      </c>
      <c r="D621" t="str">
        <f>CONCATENATE("0070006380","")</f>
        <v>0070006380</v>
      </c>
      <c r="E621" t="str">
        <f>CONCATENATE("0031036000220       ","")</f>
        <v>0031036000220       </v>
      </c>
      <c r="F621" t="str">
        <f>CONCATENATE("605275474","")</f>
        <v>605275474</v>
      </c>
      <c r="G621" t="s">
        <v>1217</v>
      </c>
      <c r="H621" t="s">
        <v>1222</v>
      </c>
      <c r="I621" t="s">
        <v>1202</v>
      </c>
      <c r="J621" t="str">
        <f t="shared" si="77"/>
        <v>080302</v>
      </c>
      <c r="K621" t="s">
        <v>22</v>
      </c>
      <c r="L621" t="s">
        <v>23</v>
      </c>
      <c r="M621" t="str">
        <f t="shared" si="76"/>
        <v>1</v>
      </c>
      <c r="O621" t="str">
        <f>CONCATENATE("1 ","")</f>
        <v>1 </v>
      </c>
      <c r="P621">
        <v>12.15</v>
      </c>
      <c r="Q621" t="s">
        <v>24</v>
      </c>
    </row>
    <row r="622" spans="1:17" ht="15">
      <c r="A622" t="s">
        <v>17</v>
      </c>
      <c r="B622" s="1">
        <v>43152</v>
      </c>
      <c r="C622" t="s">
        <v>376</v>
      </c>
      <c r="D622" t="str">
        <f>CONCATENATE("0070006413","")</f>
        <v>0070006413</v>
      </c>
      <c r="E622" t="str">
        <f>CONCATENATE("0031036000560       ","")</f>
        <v>0031036000560       </v>
      </c>
      <c r="F622" t="str">
        <f>CONCATENATE("607447951","")</f>
        <v>607447951</v>
      </c>
      <c r="G622" t="s">
        <v>1223</v>
      </c>
      <c r="H622" t="s">
        <v>1224</v>
      </c>
      <c r="I622" t="s">
        <v>1202</v>
      </c>
      <c r="J622" t="str">
        <f t="shared" si="77"/>
        <v>080302</v>
      </c>
      <c r="K622" t="s">
        <v>22</v>
      </c>
      <c r="L622" t="s">
        <v>23</v>
      </c>
      <c r="M622" t="str">
        <f t="shared" si="76"/>
        <v>1</v>
      </c>
      <c r="O622" t="str">
        <f>CONCATENATE("1 ","")</f>
        <v>1 </v>
      </c>
      <c r="P622">
        <v>9.15</v>
      </c>
      <c r="Q622" t="s">
        <v>24</v>
      </c>
    </row>
    <row r="623" spans="1:17" ht="15">
      <c r="A623" t="s">
        <v>17</v>
      </c>
      <c r="B623" s="1">
        <v>43152</v>
      </c>
      <c r="C623" t="s">
        <v>376</v>
      </c>
      <c r="D623" t="str">
        <f>CONCATENATE("0070006430","")</f>
        <v>0070006430</v>
      </c>
      <c r="E623" t="str">
        <f>CONCATENATE("0031037000040       ","")</f>
        <v>0031037000040       </v>
      </c>
      <c r="F623" t="str">
        <f>CONCATENATE("605117321","")</f>
        <v>605117321</v>
      </c>
      <c r="G623" t="s">
        <v>1196</v>
      </c>
      <c r="H623" t="s">
        <v>1225</v>
      </c>
      <c r="I623" t="s">
        <v>1202</v>
      </c>
      <c r="J623" t="str">
        <f t="shared" si="77"/>
        <v>080302</v>
      </c>
      <c r="K623" t="s">
        <v>22</v>
      </c>
      <c r="L623" t="s">
        <v>23</v>
      </c>
      <c r="M623" t="str">
        <f t="shared" si="76"/>
        <v>1</v>
      </c>
      <c r="O623" t="str">
        <f>CONCATENATE("1 ","")</f>
        <v>1 </v>
      </c>
      <c r="P623">
        <v>25.3</v>
      </c>
      <c r="Q623" t="s">
        <v>24</v>
      </c>
    </row>
    <row r="624" spans="1:17" ht="15">
      <c r="A624" t="s">
        <v>17</v>
      </c>
      <c r="B624" s="1">
        <v>43152</v>
      </c>
      <c r="C624" t="s">
        <v>376</v>
      </c>
      <c r="D624" t="str">
        <f>CONCATENATE("0070013906","")</f>
        <v>0070013906</v>
      </c>
      <c r="E624" t="str">
        <f>CONCATENATE("0031037000115       ","")</f>
        <v>0031037000115       </v>
      </c>
      <c r="F624" t="str">
        <f>CONCATENATE("1812143","")</f>
        <v>1812143</v>
      </c>
      <c r="G624" t="s">
        <v>1226</v>
      </c>
      <c r="H624" t="s">
        <v>1227</v>
      </c>
      <c r="I624" t="s">
        <v>1228</v>
      </c>
      <c r="J624" t="str">
        <f t="shared" si="77"/>
        <v>080302</v>
      </c>
      <c r="K624" t="s">
        <v>22</v>
      </c>
      <c r="L624" t="s">
        <v>23</v>
      </c>
      <c r="M624" t="str">
        <f t="shared" si="76"/>
        <v>1</v>
      </c>
      <c r="O624" t="str">
        <f>CONCATENATE("1 ","")</f>
        <v>1 </v>
      </c>
      <c r="P624">
        <v>61.65</v>
      </c>
      <c r="Q624" t="s">
        <v>24</v>
      </c>
    </row>
    <row r="625" spans="1:17" ht="15">
      <c r="A625" t="s">
        <v>17</v>
      </c>
      <c r="B625" s="1">
        <v>43152</v>
      </c>
      <c r="C625" t="s">
        <v>376</v>
      </c>
      <c r="D625" t="str">
        <f>CONCATENATE("0070006456","")</f>
        <v>0070006456</v>
      </c>
      <c r="E625" t="str">
        <f>CONCATENATE("0031037000310       ","")</f>
        <v>0031037000310       </v>
      </c>
      <c r="F625" t="str">
        <f>CONCATENATE("605741245","")</f>
        <v>605741245</v>
      </c>
      <c r="G625" t="s">
        <v>1229</v>
      </c>
      <c r="H625" t="s">
        <v>1230</v>
      </c>
      <c r="I625" t="s">
        <v>1202</v>
      </c>
      <c r="J625" t="str">
        <f t="shared" si="77"/>
        <v>080302</v>
      </c>
      <c r="K625" t="s">
        <v>22</v>
      </c>
      <c r="L625" t="s">
        <v>23</v>
      </c>
      <c r="M625" t="str">
        <f t="shared" si="76"/>
        <v>1</v>
      </c>
      <c r="O625" t="str">
        <f>CONCATENATE("6 ","")</f>
        <v>6 </v>
      </c>
      <c r="P625">
        <v>65.55</v>
      </c>
      <c r="Q625" t="s">
        <v>24</v>
      </c>
    </row>
    <row r="626" spans="1:17" ht="15">
      <c r="A626" t="s">
        <v>17</v>
      </c>
      <c r="B626" s="1">
        <v>43152</v>
      </c>
      <c r="C626" t="s">
        <v>376</v>
      </c>
      <c r="D626" t="str">
        <f>CONCATENATE("0070024115","")</f>
        <v>0070024115</v>
      </c>
      <c r="E626" t="str">
        <f>CONCATENATE("0031037000550       ","")</f>
        <v>0031037000550       </v>
      </c>
      <c r="F626" t="str">
        <f>CONCATENATE("607092510","")</f>
        <v>607092510</v>
      </c>
      <c r="G626" t="s">
        <v>1229</v>
      </c>
      <c r="H626" t="s">
        <v>1231</v>
      </c>
      <c r="I626" t="s">
        <v>1232</v>
      </c>
      <c r="J626" t="str">
        <f t="shared" si="77"/>
        <v>080302</v>
      </c>
      <c r="K626" t="s">
        <v>22</v>
      </c>
      <c r="L626" t="s">
        <v>23</v>
      </c>
      <c r="M626" t="str">
        <f t="shared" si="76"/>
        <v>1</v>
      </c>
      <c r="O626" t="str">
        <f>CONCATENATE("5 ","")</f>
        <v>5 </v>
      </c>
      <c r="P626">
        <v>128.35</v>
      </c>
      <c r="Q626" t="s">
        <v>24</v>
      </c>
    </row>
    <row r="627" spans="1:17" ht="15">
      <c r="A627" t="s">
        <v>17</v>
      </c>
      <c r="B627" s="1">
        <v>43152</v>
      </c>
      <c r="C627" t="s">
        <v>376</v>
      </c>
      <c r="D627" t="str">
        <f>CONCATENATE("0070024087","")</f>
        <v>0070024087</v>
      </c>
      <c r="E627" t="str">
        <f>CONCATENATE("0031038000030       ","")</f>
        <v>0031038000030       </v>
      </c>
      <c r="F627" t="str">
        <f>CONCATENATE("607092346","")</f>
        <v>607092346</v>
      </c>
      <c r="G627" t="s">
        <v>1233</v>
      </c>
      <c r="H627" t="s">
        <v>1234</v>
      </c>
      <c r="I627" t="s">
        <v>1208</v>
      </c>
      <c r="J627" t="str">
        <f t="shared" si="77"/>
        <v>080302</v>
      </c>
      <c r="K627" t="s">
        <v>22</v>
      </c>
      <c r="L627" t="s">
        <v>23</v>
      </c>
      <c r="M627" t="str">
        <f t="shared" si="76"/>
        <v>1</v>
      </c>
      <c r="O627" t="str">
        <f>CONCATENATE("1 ","")</f>
        <v>1 </v>
      </c>
      <c r="P627">
        <v>167.85</v>
      </c>
      <c r="Q627" t="s">
        <v>24</v>
      </c>
    </row>
    <row r="628" spans="1:17" ht="15">
      <c r="A628" t="s">
        <v>17</v>
      </c>
      <c r="B628" s="1">
        <v>43152</v>
      </c>
      <c r="C628" t="s">
        <v>376</v>
      </c>
      <c r="D628" t="str">
        <f>CONCATENATE("0070024095","")</f>
        <v>0070024095</v>
      </c>
      <c r="E628" t="str">
        <f>CONCATENATE("0031038000620       ","")</f>
        <v>0031038000620       </v>
      </c>
      <c r="F628" t="str">
        <f>CONCATENATE("607092333","")</f>
        <v>607092333</v>
      </c>
      <c r="G628" t="s">
        <v>1233</v>
      </c>
      <c r="H628" t="s">
        <v>1235</v>
      </c>
      <c r="I628" t="s">
        <v>1208</v>
      </c>
      <c r="J628" t="str">
        <f t="shared" si="77"/>
        <v>080302</v>
      </c>
      <c r="K628" t="s">
        <v>22</v>
      </c>
      <c r="L628" t="s">
        <v>23</v>
      </c>
      <c r="M628" t="str">
        <f t="shared" si="76"/>
        <v>1</v>
      </c>
      <c r="O628" t="str">
        <f>CONCATENATE("1 ","")</f>
        <v>1 </v>
      </c>
      <c r="P628">
        <v>18.6</v>
      </c>
      <c r="Q628" t="s">
        <v>24</v>
      </c>
    </row>
    <row r="629" spans="1:17" ht="15">
      <c r="A629" t="s">
        <v>17</v>
      </c>
      <c r="B629" s="1">
        <v>43152</v>
      </c>
      <c r="C629" t="s">
        <v>376</v>
      </c>
      <c r="D629" t="str">
        <f>CONCATENATE("0070024134","")</f>
        <v>0070024134</v>
      </c>
      <c r="E629" t="str">
        <f>CONCATENATE("0031039000090       ","")</f>
        <v>0031039000090       </v>
      </c>
      <c r="F629" t="str">
        <f>CONCATENATE("607092395","")</f>
        <v>607092395</v>
      </c>
      <c r="G629" t="s">
        <v>1236</v>
      </c>
      <c r="H629" t="s">
        <v>1237</v>
      </c>
      <c r="I629" t="s">
        <v>1232</v>
      </c>
      <c r="J629" t="str">
        <f t="shared" si="77"/>
        <v>080302</v>
      </c>
      <c r="K629" t="s">
        <v>22</v>
      </c>
      <c r="L629" t="s">
        <v>23</v>
      </c>
      <c r="M629" t="str">
        <f aca="true" t="shared" si="78" ref="M629:M660">CONCATENATE("1","")</f>
        <v>1</v>
      </c>
      <c r="O629" t="str">
        <f>CONCATENATE("2 ","")</f>
        <v>2 </v>
      </c>
      <c r="P629">
        <v>23.6</v>
      </c>
      <c r="Q629" t="s">
        <v>24</v>
      </c>
    </row>
    <row r="630" spans="1:17" ht="15">
      <c r="A630" t="s">
        <v>17</v>
      </c>
      <c r="B630" s="1">
        <v>43152</v>
      </c>
      <c r="C630" t="s">
        <v>1111</v>
      </c>
      <c r="D630" t="str">
        <f>CONCATENATE("0070006484","")</f>
        <v>0070006484</v>
      </c>
      <c r="E630" t="str">
        <f>CONCATENATE("0031040000180       ","")</f>
        <v>0031040000180       </v>
      </c>
      <c r="F630" t="str">
        <f>CONCATENATE("605231506","")</f>
        <v>605231506</v>
      </c>
      <c r="G630" t="s">
        <v>1238</v>
      </c>
      <c r="H630" t="s">
        <v>1239</v>
      </c>
      <c r="I630" t="s">
        <v>1240</v>
      </c>
      <c r="J630" t="str">
        <f aca="true" t="shared" si="79" ref="J630:J643">CONCATENATE("080309","")</f>
        <v>080309</v>
      </c>
      <c r="K630" t="s">
        <v>22</v>
      </c>
      <c r="L630" t="s">
        <v>23</v>
      </c>
      <c r="M630" t="str">
        <f t="shared" si="78"/>
        <v>1</v>
      </c>
      <c r="O630" t="str">
        <f>CONCATENATE("2 ","")</f>
        <v>2 </v>
      </c>
      <c r="P630">
        <v>142.65</v>
      </c>
      <c r="Q630" t="s">
        <v>24</v>
      </c>
    </row>
    <row r="631" spans="1:17" ht="15">
      <c r="A631" t="s">
        <v>17</v>
      </c>
      <c r="B631" s="1">
        <v>43152</v>
      </c>
      <c r="C631" t="s">
        <v>1111</v>
      </c>
      <c r="D631" t="str">
        <f>CONCATENATE("0070006506","")</f>
        <v>0070006506</v>
      </c>
      <c r="E631" t="str">
        <f>CONCATENATE("0031040000400       ","")</f>
        <v>0031040000400       </v>
      </c>
      <c r="F631" t="str">
        <f>CONCATENATE("605231280","")</f>
        <v>605231280</v>
      </c>
      <c r="G631" t="s">
        <v>1238</v>
      </c>
      <c r="H631" t="s">
        <v>1241</v>
      </c>
      <c r="I631" t="s">
        <v>1240</v>
      </c>
      <c r="J631" t="str">
        <f t="shared" si="79"/>
        <v>080309</v>
      </c>
      <c r="K631" t="s">
        <v>22</v>
      </c>
      <c r="L631" t="s">
        <v>23</v>
      </c>
      <c r="M631" t="str">
        <f t="shared" si="78"/>
        <v>1</v>
      </c>
      <c r="O631" t="str">
        <f aca="true" t="shared" si="80" ref="O631:O636">CONCATENATE("1 ","")</f>
        <v>1 </v>
      </c>
      <c r="P631">
        <v>19.2</v>
      </c>
      <c r="Q631" t="s">
        <v>24</v>
      </c>
    </row>
    <row r="632" spans="1:17" ht="15">
      <c r="A632" t="s">
        <v>17</v>
      </c>
      <c r="B632" s="1">
        <v>43152</v>
      </c>
      <c r="C632" t="s">
        <v>1111</v>
      </c>
      <c r="D632" t="str">
        <f>CONCATENATE("0070006514","")</f>
        <v>0070006514</v>
      </c>
      <c r="E632" t="str">
        <f>CONCATENATE("0031041000040       ","")</f>
        <v>0031041000040       </v>
      </c>
      <c r="F632" t="str">
        <f>CONCATENATE("605231523","")</f>
        <v>605231523</v>
      </c>
      <c r="G632" t="s">
        <v>1238</v>
      </c>
      <c r="H632" t="s">
        <v>1242</v>
      </c>
      <c r="I632" t="s">
        <v>1240</v>
      </c>
      <c r="J632" t="str">
        <f t="shared" si="79"/>
        <v>080309</v>
      </c>
      <c r="K632" t="s">
        <v>22</v>
      </c>
      <c r="L632" t="s">
        <v>23</v>
      </c>
      <c r="M632" t="str">
        <f t="shared" si="78"/>
        <v>1</v>
      </c>
      <c r="O632" t="str">
        <f t="shared" si="80"/>
        <v>1 </v>
      </c>
      <c r="P632">
        <v>21.8</v>
      </c>
      <c r="Q632" t="s">
        <v>24</v>
      </c>
    </row>
    <row r="633" spans="1:17" ht="15">
      <c r="A633" t="s">
        <v>17</v>
      </c>
      <c r="B633" s="1">
        <v>43152</v>
      </c>
      <c r="C633" t="s">
        <v>1111</v>
      </c>
      <c r="D633" t="str">
        <f>CONCATENATE("0070006525","")</f>
        <v>0070006525</v>
      </c>
      <c r="E633" t="str">
        <f>CONCATENATE("0031041000150       ","")</f>
        <v>0031041000150       </v>
      </c>
      <c r="F633" t="str">
        <f>CONCATENATE("605231515","")</f>
        <v>605231515</v>
      </c>
      <c r="G633" t="s">
        <v>1238</v>
      </c>
      <c r="H633" t="s">
        <v>1243</v>
      </c>
      <c r="I633" t="s">
        <v>1240</v>
      </c>
      <c r="J633" t="str">
        <f t="shared" si="79"/>
        <v>080309</v>
      </c>
      <c r="K633" t="s">
        <v>22</v>
      </c>
      <c r="L633" t="s">
        <v>23</v>
      </c>
      <c r="M633" t="str">
        <f t="shared" si="78"/>
        <v>1</v>
      </c>
      <c r="O633" t="str">
        <f t="shared" si="80"/>
        <v>1 </v>
      </c>
      <c r="P633">
        <v>46.25</v>
      </c>
      <c r="Q633" t="s">
        <v>24</v>
      </c>
    </row>
    <row r="634" spans="1:17" ht="15">
      <c r="A634" t="s">
        <v>17</v>
      </c>
      <c r="B634" s="1">
        <v>43152</v>
      </c>
      <c r="C634" t="s">
        <v>1111</v>
      </c>
      <c r="D634" t="str">
        <f>CONCATENATE("0070006539","")</f>
        <v>0070006539</v>
      </c>
      <c r="E634" t="str">
        <f>CONCATENATE("0031041000270       ","")</f>
        <v>0031041000270       </v>
      </c>
      <c r="F634" t="str">
        <f>CONCATENATE("1676314","")</f>
        <v>1676314</v>
      </c>
      <c r="G634" t="s">
        <v>1238</v>
      </c>
      <c r="H634" t="s">
        <v>1244</v>
      </c>
      <c r="I634" t="s">
        <v>1240</v>
      </c>
      <c r="J634" t="str">
        <f t="shared" si="79"/>
        <v>080309</v>
      </c>
      <c r="K634" t="s">
        <v>22</v>
      </c>
      <c r="L634" t="s">
        <v>23</v>
      </c>
      <c r="M634" t="str">
        <f t="shared" si="78"/>
        <v>1</v>
      </c>
      <c r="O634" t="str">
        <f t="shared" si="80"/>
        <v>1 </v>
      </c>
      <c r="P634">
        <v>53.15</v>
      </c>
      <c r="Q634" t="s">
        <v>24</v>
      </c>
    </row>
    <row r="635" spans="1:17" ht="15">
      <c r="A635" t="s">
        <v>17</v>
      </c>
      <c r="B635" s="1">
        <v>43152</v>
      </c>
      <c r="C635" t="s">
        <v>1111</v>
      </c>
      <c r="D635" t="str">
        <f>CONCATENATE("0070006613","")</f>
        <v>0070006613</v>
      </c>
      <c r="E635" t="str">
        <f>CONCATENATE("0031055000270       ","")</f>
        <v>0031055000270       </v>
      </c>
      <c r="F635" t="str">
        <f>CONCATENATE("605741252","")</f>
        <v>605741252</v>
      </c>
      <c r="G635" t="s">
        <v>1245</v>
      </c>
      <c r="H635" t="s">
        <v>1246</v>
      </c>
      <c r="I635" t="s">
        <v>1247</v>
      </c>
      <c r="J635" t="str">
        <f t="shared" si="79"/>
        <v>080309</v>
      </c>
      <c r="K635" t="s">
        <v>22</v>
      </c>
      <c r="L635" t="s">
        <v>23</v>
      </c>
      <c r="M635" t="str">
        <f t="shared" si="78"/>
        <v>1</v>
      </c>
      <c r="O635" t="str">
        <f t="shared" si="80"/>
        <v>1 </v>
      </c>
      <c r="P635">
        <v>12.35</v>
      </c>
      <c r="Q635" t="s">
        <v>24</v>
      </c>
    </row>
    <row r="636" spans="1:17" ht="15">
      <c r="A636" t="s">
        <v>17</v>
      </c>
      <c r="B636" s="1">
        <v>43152</v>
      </c>
      <c r="C636" t="s">
        <v>1111</v>
      </c>
      <c r="D636" t="str">
        <f>CONCATENATE("0070006627","")</f>
        <v>0070006627</v>
      </c>
      <c r="E636" t="str">
        <f>CONCATENATE("0031055000410       ","")</f>
        <v>0031055000410       </v>
      </c>
      <c r="F636" t="str">
        <f>CONCATENATE("607442723","")</f>
        <v>607442723</v>
      </c>
      <c r="G636" t="s">
        <v>1245</v>
      </c>
      <c r="H636" t="s">
        <v>1248</v>
      </c>
      <c r="I636" t="s">
        <v>1247</v>
      </c>
      <c r="J636" t="str">
        <f t="shared" si="79"/>
        <v>080309</v>
      </c>
      <c r="K636" t="s">
        <v>22</v>
      </c>
      <c r="L636" t="s">
        <v>23</v>
      </c>
      <c r="M636" t="str">
        <f t="shared" si="78"/>
        <v>1</v>
      </c>
      <c r="O636" t="str">
        <f t="shared" si="80"/>
        <v>1 </v>
      </c>
      <c r="P636">
        <v>10.75</v>
      </c>
      <c r="Q636" t="s">
        <v>24</v>
      </c>
    </row>
    <row r="637" spans="1:17" ht="15">
      <c r="A637" t="s">
        <v>17</v>
      </c>
      <c r="B637" s="1">
        <v>43152</v>
      </c>
      <c r="C637" t="s">
        <v>1111</v>
      </c>
      <c r="D637" t="str">
        <f>CONCATENATE("0070006637","")</f>
        <v>0070006637</v>
      </c>
      <c r="E637" t="str">
        <f>CONCATENATE("0031060000040       ","")</f>
        <v>0031060000040       </v>
      </c>
      <c r="F637" t="str">
        <f>CONCATENATE("605284642","")</f>
        <v>605284642</v>
      </c>
      <c r="G637" t="s">
        <v>1249</v>
      </c>
      <c r="H637" t="s">
        <v>1250</v>
      </c>
      <c r="I637" t="s">
        <v>1251</v>
      </c>
      <c r="J637" t="str">
        <f t="shared" si="79"/>
        <v>080309</v>
      </c>
      <c r="K637" t="s">
        <v>22</v>
      </c>
      <c r="L637" t="s">
        <v>23</v>
      </c>
      <c r="M637" t="str">
        <f t="shared" si="78"/>
        <v>1</v>
      </c>
      <c r="O637" t="str">
        <f>CONCATENATE("2 ","")</f>
        <v>2 </v>
      </c>
      <c r="P637">
        <v>70.4</v>
      </c>
      <c r="Q637" t="s">
        <v>24</v>
      </c>
    </row>
    <row r="638" spans="1:17" ht="15">
      <c r="A638" t="s">
        <v>17</v>
      </c>
      <c r="B638" s="1">
        <v>43152</v>
      </c>
      <c r="C638" t="s">
        <v>1111</v>
      </c>
      <c r="D638" t="str">
        <f>CONCATENATE("0070006643","")</f>
        <v>0070006643</v>
      </c>
      <c r="E638" t="str">
        <f>CONCATENATE("0031060000090       ","")</f>
        <v>0031060000090       </v>
      </c>
      <c r="F638" t="str">
        <f>CONCATENATE("605284650","")</f>
        <v>605284650</v>
      </c>
      <c r="G638" t="s">
        <v>1249</v>
      </c>
      <c r="H638" t="s">
        <v>1252</v>
      </c>
      <c r="I638" t="s">
        <v>1251</v>
      </c>
      <c r="J638" t="str">
        <f t="shared" si="79"/>
        <v>080309</v>
      </c>
      <c r="K638" t="s">
        <v>22</v>
      </c>
      <c r="L638" t="s">
        <v>23</v>
      </c>
      <c r="M638" t="str">
        <f t="shared" si="78"/>
        <v>1</v>
      </c>
      <c r="O638" t="str">
        <f>CONCATENATE("1 ","")</f>
        <v>1 </v>
      </c>
      <c r="P638">
        <v>48.3</v>
      </c>
      <c r="Q638" t="s">
        <v>24</v>
      </c>
    </row>
    <row r="639" spans="1:17" ht="15">
      <c r="A639" t="s">
        <v>17</v>
      </c>
      <c r="B639" s="1">
        <v>43152</v>
      </c>
      <c r="C639" t="s">
        <v>1111</v>
      </c>
      <c r="D639" t="str">
        <f>CONCATENATE("0070023368","")</f>
        <v>0070023368</v>
      </c>
      <c r="E639" t="str">
        <f>CONCATENATE("0031060000096       ","")</f>
        <v>0031060000096       </v>
      </c>
      <c r="F639" t="str">
        <f>CONCATENATE("606595609","")</f>
        <v>606595609</v>
      </c>
      <c r="G639" t="s">
        <v>1249</v>
      </c>
      <c r="H639" t="s">
        <v>1253</v>
      </c>
      <c r="I639" t="s">
        <v>1254</v>
      </c>
      <c r="J639" t="str">
        <f t="shared" si="79"/>
        <v>080309</v>
      </c>
      <c r="K639" t="s">
        <v>22</v>
      </c>
      <c r="L639" t="s">
        <v>23</v>
      </c>
      <c r="M639" t="str">
        <f t="shared" si="78"/>
        <v>1</v>
      </c>
      <c r="O639" t="str">
        <f>CONCATENATE("6 ","")</f>
        <v>6 </v>
      </c>
      <c r="P639">
        <v>50.75</v>
      </c>
      <c r="Q639" t="s">
        <v>24</v>
      </c>
    </row>
    <row r="640" spans="1:17" ht="15">
      <c r="A640" t="s">
        <v>17</v>
      </c>
      <c r="B640" s="1">
        <v>43152</v>
      </c>
      <c r="C640" t="s">
        <v>1111</v>
      </c>
      <c r="D640" t="str">
        <f>CONCATENATE("0070006659","")</f>
        <v>0070006659</v>
      </c>
      <c r="E640" t="str">
        <f>CONCATENATE("0031060000230       ","")</f>
        <v>0031060000230       </v>
      </c>
      <c r="F640" t="str">
        <f>CONCATENATE("605158733","")</f>
        <v>605158733</v>
      </c>
      <c r="G640" t="s">
        <v>1249</v>
      </c>
      <c r="H640" t="s">
        <v>1255</v>
      </c>
      <c r="I640" t="s">
        <v>1256</v>
      </c>
      <c r="J640" t="str">
        <f t="shared" si="79"/>
        <v>080309</v>
      </c>
      <c r="K640" t="s">
        <v>22</v>
      </c>
      <c r="L640" t="s">
        <v>23</v>
      </c>
      <c r="M640" t="str">
        <f t="shared" si="78"/>
        <v>1</v>
      </c>
      <c r="O640" t="str">
        <f>CONCATENATE("1 ","")</f>
        <v>1 </v>
      </c>
      <c r="P640">
        <v>36.3</v>
      </c>
      <c r="Q640" t="s">
        <v>24</v>
      </c>
    </row>
    <row r="641" spans="1:17" ht="15">
      <c r="A641" t="s">
        <v>17</v>
      </c>
      <c r="B641" s="1">
        <v>43152</v>
      </c>
      <c r="C641" t="s">
        <v>1111</v>
      </c>
      <c r="D641" t="str">
        <f>CONCATENATE("0070013092","")</f>
        <v>0070013092</v>
      </c>
      <c r="E641" t="str">
        <f>CONCATENATE("0031065000190       ","")</f>
        <v>0031065000190       </v>
      </c>
      <c r="F641" t="str">
        <f>CONCATENATE("607291125","")</f>
        <v>607291125</v>
      </c>
      <c r="G641" t="s">
        <v>1257</v>
      </c>
      <c r="H641" t="s">
        <v>1258</v>
      </c>
      <c r="I641" t="s">
        <v>1259</v>
      </c>
      <c r="J641" t="str">
        <f t="shared" si="79"/>
        <v>080309</v>
      </c>
      <c r="K641" t="s">
        <v>22</v>
      </c>
      <c r="L641" t="s">
        <v>23</v>
      </c>
      <c r="M641" t="str">
        <f t="shared" si="78"/>
        <v>1</v>
      </c>
      <c r="O641" t="str">
        <f>CONCATENATE("1 ","")</f>
        <v>1 </v>
      </c>
      <c r="P641">
        <v>25.2</v>
      </c>
      <c r="Q641" t="s">
        <v>24</v>
      </c>
    </row>
    <row r="642" spans="1:17" ht="15">
      <c r="A642" t="s">
        <v>17</v>
      </c>
      <c r="B642" s="1">
        <v>43152</v>
      </c>
      <c r="C642" t="s">
        <v>1111</v>
      </c>
      <c r="D642" t="str">
        <f>CONCATENATE("0070013105","")</f>
        <v>0070013105</v>
      </c>
      <c r="E642" t="str">
        <f>CONCATENATE("0031065000350       ","")</f>
        <v>0031065000350       </v>
      </c>
      <c r="F642" t="str">
        <f>CONCATENATE("607291109","")</f>
        <v>607291109</v>
      </c>
      <c r="G642" t="s">
        <v>1257</v>
      </c>
      <c r="H642" t="s">
        <v>1260</v>
      </c>
      <c r="I642" t="s">
        <v>1261</v>
      </c>
      <c r="J642" t="str">
        <f t="shared" si="79"/>
        <v>080309</v>
      </c>
      <c r="K642" t="s">
        <v>22</v>
      </c>
      <c r="L642" t="s">
        <v>23</v>
      </c>
      <c r="M642" t="str">
        <f t="shared" si="78"/>
        <v>1</v>
      </c>
      <c r="O642" t="str">
        <f>CONCATENATE("2 ","")</f>
        <v>2 </v>
      </c>
      <c r="P642">
        <v>56.4</v>
      </c>
      <c r="Q642" t="s">
        <v>24</v>
      </c>
    </row>
    <row r="643" spans="1:17" ht="15">
      <c r="A643" t="s">
        <v>17</v>
      </c>
      <c r="B643" s="1">
        <v>43152</v>
      </c>
      <c r="C643" t="s">
        <v>1111</v>
      </c>
      <c r="D643" t="str">
        <f>CONCATENATE("0070013103","")</f>
        <v>0070013103</v>
      </c>
      <c r="E643" t="str">
        <f>CONCATENATE("0031065000390       ","")</f>
        <v>0031065000390       </v>
      </c>
      <c r="F643" t="str">
        <f>CONCATENATE("607291112","")</f>
        <v>607291112</v>
      </c>
      <c r="G643" t="s">
        <v>1257</v>
      </c>
      <c r="H643" t="s">
        <v>1262</v>
      </c>
      <c r="I643" t="s">
        <v>1259</v>
      </c>
      <c r="J643" t="str">
        <f t="shared" si="79"/>
        <v>080309</v>
      </c>
      <c r="K643" t="s">
        <v>22</v>
      </c>
      <c r="L643" t="s">
        <v>23</v>
      </c>
      <c r="M643" t="str">
        <f t="shared" si="78"/>
        <v>1</v>
      </c>
      <c r="O643" t="str">
        <f>CONCATENATE("1 ","")</f>
        <v>1 </v>
      </c>
      <c r="P643">
        <v>53.75</v>
      </c>
      <c r="Q643" t="s">
        <v>24</v>
      </c>
    </row>
    <row r="644" spans="1:17" ht="15">
      <c r="A644" t="s">
        <v>17</v>
      </c>
      <c r="B644" s="1">
        <v>43152</v>
      </c>
      <c r="C644" t="s">
        <v>587</v>
      </c>
      <c r="D644" t="str">
        <f>CONCATENATE("0070010026","")</f>
        <v>0070010026</v>
      </c>
      <c r="E644" t="str">
        <f>CONCATENATE("0031101000315       ","")</f>
        <v>0031101000315       </v>
      </c>
      <c r="F644" t="str">
        <f>CONCATENATE("605754476","")</f>
        <v>605754476</v>
      </c>
      <c r="G644" t="s">
        <v>1263</v>
      </c>
      <c r="H644" t="s">
        <v>1264</v>
      </c>
      <c r="I644" t="s">
        <v>1265</v>
      </c>
      <c r="J644" t="str">
        <f aca="true" t="shared" si="81" ref="J644:J675">CONCATENATE("080306","")</f>
        <v>080306</v>
      </c>
      <c r="K644" t="s">
        <v>22</v>
      </c>
      <c r="L644" t="s">
        <v>23</v>
      </c>
      <c r="M644" t="str">
        <f t="shared" si="78"/>
        <v>1</v>
      </c>
      <c r="O644" t="str">
        <f>CONCATENATE("3 ","")</f>
        <v>3 </v>
      </c>
      <c r="P644">
        <v>47.9</v>
      </c>
      <c r="Q644" t="s">
        <v>24</v>
      </c>
    </row>
    <row r="645" spans="1:17" ht="15">
      <c r="A645" t="s">
        <v>17</v>
      </c>
      <c r="B645" s="1">
        <v>43152</v>
      </c>
      <c r="C645" t="s">
        <v>587</v>
      </c>
      <c r="D645" t="str">
        <f>CONCATENATE("0070011126","")</f>
        <v>0070011126</v>
      </c>
      <c r="E645" t="str">
        <f>CONCATENATE("0031103001070       ","")</f>
        <v>0031103001070       </v>
      </c>
      <c r="F645" t="str">
        <f>CONCATENATE("605750945","")</f>
        <v>605750945</v>
      </c>
      <c r="G645" t="s">
        <v>1266</v>
      </c>
      <c r="H645" t="s">
        <v>1267</v>
      </c>
      <c r="I645" t="s">
        <v>1268</v>
      </c>
      <c r="J645" t="str">
        <f t="shared" si="81"/>
        <v>080306</v>
      </c>
      <c r="K645" t="s">
        <v>22</v>
      </c>
      <c r="L645" t="s">
        <v>23</v>
      </c>
      <c r="M645" t="str">
        <f t="shared" si="78"/>
        <v>1</v>
      </c>
      <c r="O645" t="str">
        <f>CONCATENATE("4 ","")</f>
        <v>4 </v>
      </c>
      <c r="P645">
        <v>35.25</v>
      </c>
      <c r="Q645" t="s">
        <v>24</v>
      </c>
    </row>
    <row r="646" spans="1:17" ht="15">
      <c r="A646" t="s">
        <v>17</v>
      </c>
      <c r="B646" s="1">
        <v>43152</v>
      </c>
      <c r="C646" t="s">
        <v>587</v>
      </c>
      <c r="D646" t="str">
        <f>CONCATENATE("0070011145","")</f>
        <v>0070011145</v>
      </c>
      <c r="E646" t="str">
        <f>CONCATENATE("0031103001090       ","")</f>
        <v>0031103001090       </v>
      </c>
      <c r="F646" t="str">
        <f>CONCATENATE("605772233","")</f>
        <v>605772233</v>
      </c>
      <c r="G646" t="s">
        <v>1269</v>
      </c>
      <c r="H646" t="s">
        <v>1270</v>
      </c>
      <c r="I646" t="s">
        <v>1268</v>
      </c>
      <c r="J646" t="str">
        <f t="shared" si="81"/>
        <v>080306</v>
      </c>
      <c r="K646" t="s">
        <v>22</v>
      </c>
      <c r="L646" t="s">
        <v>23</v>
      </c>
      <c r="M646" t="str">
        <f t="shared" si="78"/>
        <v>1</v>
      </c>
      <c r="O646" t="str">
        <f>CONCATENATE("1 ","")</f>
        <v>1 </v>
      </c>
      <c r="P646">
        <v>16.6</v>
      </c>
      <c r="Q646" t="s">
        <v>24</v>
      </c>
    </row>
    <row r="647" spans="1:17" ht="15">
      <c r="A647" t="s">
        <v>17</v>
      </c>
      <c r="B647" s="1">
        <v>43152</v>
      </c>
      <c r="C647" t="s">
        <v>587</v>
      </c>
      <c r="D647" t="str">
        <f>CONCATENATE("0070011157","")</f>
        <v>0070011157</v>
      </c>
      <c r="E647" t="str">
        <f>CONCATENATE("0031103001155       ","")</f>
        <v>0031103001155       </v>
      </c>
      <c r="F647" t="str">
        <f>CONCATENATE("607297723","")</f>
        <v>607297723</v>
      </c>
      <c r="G647" t="s">
        <v>1266</v>
      </c>
      <c r="H647" t="s">
        <v>1271</v>
      </c>
      <c r="I647" t="s">
        <v>1268</v>
      </c>
      <c r="J647" t="str">
        <f t="shared" si="81"/>
        <v>080306</v>
      </c>
      <c r="K647" t="s">
        <v>22</v>
      </c>
      <c r="L647" t="s">
        <v>23</v>
      </c>
      <c r="M647" t="str">
        <f t="shared" si="78"/>
        <v>1</v>
      </c>
      <c r="O647" t="str">
        <f>CONCATENATE("2 ","")</f>
        <v>2 </v>
      </c>
      <c r="P647">
        <v>17.65</v>
      </c>
      <c r="Q647" t="s">
        <v>24</v>
      </c>
    </row>
    <row r="648" spans="1:17" ht="15">
      <c r="A648" t="s">
        <v>17</v>
      </c>
      <c r="B648" s="1">
        <v>43152</v>
      </c>
      <c r="C648" t="s">
        <v>587</v>
      </c>
      <c r="D648" t="str">
        <f>CONCATENATE("0070011136","")</f>
        <v>0070011136</v>
      </c>
      <c r="E648" t="str">
        <f>CONCATENATE("0031103001200       ","")</f>
        <v>0031103001200       </v>
      </c>
      <c r="F648" t="str">
        <f>CONCATENATE("607443644","")</f>
        <v>607443644</v>
      </c>
      <c r="G648" t="s">
        <v>1266</v>
      </c>
      <c r="H648" t="s">
        <v>1272</v>
      </c>
      <c r="I648" t="s">
        <v>1268</v>
      </c>
      <c r="J648" t="str">
        <f t="shared" si="81"/>
        <v>080306</v>
      </c>
      <c r="K648" t="s">
        <v>22</v>
      </c>
      <c r="L648" t="s">
        <v>23</v>
      </c>
      <c r="M648" t="str">
        <f t="shared" si="78"/>
        <v>1</v>
      </c>
      <c r="O648" t="str">
        <f>CONCATENATE("1 ","")</f>
        <v>1 </v>
      </c>
      <c r="P648">
        <v>36.25</v>
      </c>
      <c r="Q648" t="s">
        <v>24</v>
      </c>
    </row>
    <row r="649" spans="1:17" ht="15">
      <c r="A649" t="s">
        <v>17</v>
      </c>
      <c r="B649" s="1">
        <v>43152</v>
      </c>
      <c r="C649" t="s">
        <v>587</v>
      </c>
      <c r="D649" t="str">
        <f>CONCATENATE("0070011170","")</f>
        <v>0070011170</v>
      </c>
      <c r="E649" t="str">
        <f>CONCATENATE("0031103002300       ","")</f>
        <v>0031103002300       </v>
      </c>
      <c r="F649" t="str">
        <f>CONCATENATE("605772251","")</f>
        <v>605772251</v>
      </c>
      <c r="G649" t="s">
        <v>1269</v>
      </c>
      <c r="H649" t="s">
        <v>1273</v>
      </c>
      <c r="I649" t="s">
        <v>1274</v>
      </c>
      <c r="J649" t="str">
        <f t="shared" si="81"/>
        <v>080306</v>
      </c>
      <c r="K649" t="s">
        <v>22</v>
      </c>
      <c r="L649" t="s">
        <v>23</v>
      </c>
      <c r="M649" t="str">
        <f t="shared" si="78"/>
        <v>1</v>
      </c>
      <c r="O649" t="str">
        <f>CONCATENATE("2 ","")</f>
        <v>2 </v>
      </c>
      <c r="P649">
        <v>17.4</v>
      </c>
      <c r="Q649" t="s">
        <v>24</v>
      </c>
    </row>
    <row r="650" spans="1:17" ht="15">
      <c r="A650" t="s">
        <v>17</v>
      </c>
      <c r="B650" s="1">
        <v>43152</v>
      </c>
      <c r="C650" t="s">
        <v>587</v>
      </c>
      <c r="D650" t="str">
        <f>CONCATENATE("0070006727","")</f>
        <v>0070006727</v>
      </c>
      <c r="E650" t="str">
        <f>CONCATENATE("0031105000250       ","")</f>
        <v>0031105000250       </v>
      </c>
      <c r="F650" t="str">
        <f>CONCATENATE("607539417","")</f>
        <v>607539417</v>
      </c>
      <c r="G650" t="s">
        <v>1275</v>
      </c>
      <c r="H650" t="s">
        <v>1276</v>
      </c>
      <c r="I650" t="s">
        <v>1277</v>
      </c>
      <c r="J650" t="str">
        <f t="shared" si="81"/>
        <v>080306</v>
      </c>
      <c r="K650" t="s">
        <v>22</v>
      </c>
      <c r="L650" t="s">
        <v>23</v>
      </c>
      <c r="M650" t="str">
        <f t="shared" si="78"/>
        <v>1</v>
      </c>
      <c r="O650" t="str">
        <f aca="true" t="shared" si="82" ref="O650:O656">CONCATENATE("1 ","")</f>
        <v>1 </v>
      </c>
      <c r="P650">
        <v>27.6</v>
      </c>
      <c r="Q650" t="s">
        <v>24</v>
      </c>
    </row>
    <row r="651" spans="1:17" ht="15">
      <c r="A651" t="s">
        <v>17</v>
      </c>
      <c r="B651" s="1">
        <v>43152</v>
      </c>
      <c r="C651" t="s">
        <v>587</v>
      </c>
      <c r="D651" t="str">
        <f>CONCATENATE("0070022370","")</f>
        <v>0070022370</v>
      </c>
      <c r="E651" t="str">
        <f>CONCATENATE("0031105000265       ","")</f>
        <v>0031105000265       </v>
      </c>
      <c r="F651" t="str">
        <f>CONCATENATE("1932448","")</f>
        <v>1932448</v>
      </c>
      <c r="G651" t="s">
        <v>1275</v>
      </c>
      <c r="H651" t="s">
        <v>1278</v>
      </c>
      <c r="I651" t="s">
        <v>1279</v>
      </c>
      <c r="J651" t="str">
        <f t="shared" si="81"/>
        <v>080306</v>
      </c>
      <c r="K651" t="s">
        <v>22</v>
      </c>
      <c r="L651" t="s">
        <v>23</v>
      </c>
      <c r="M651" t="str">
        <f t="shared" si="78"/>
        <v>1</v>
      </c>
      <c r="O651" t="str">
        <f t="shared" si="82"/>
        <v>1 </v>
      </c>
      <c r="P651">
        <v>23.4</v>
      </c>
      <c r="Q651" t="s">
        <v>24</v>
      </c>
    </row>
    <row r="652" spans="1:17" ht="15">
      <c r="A652" t="s">
        <v>17</v>
      </c>
      <c r="B652" s="1">
        <v>43152</v>
      </c>
      <c r="C652" t="s">
        <v>587</v>
      </c>
      <c r="D652" t="str">
        <f>CONCATENATE("0070006757","")</f>
        <v>0070006757</v>
      </c>
      <c r="E652" t="str">
        <f>CONCATENATE("0031110002200       ","")</f>
        <v>0031110002200       </v>
      </c>
      <c r="F652" t="str">
        <f>CONCATENATE("607659915","")</f>
        <v>607659915</v>
      </c>
      <c r="G652" t="s">
        <v>1280</v>
      </c>
      <c r="H652" t="s">
        <v>1281</v>
      </c>
      <c r="I652" t="s">
        <v>1282</v>
      </c>
      <c r="J652" t="str">
        <f t="shared" si="81"/>
        <v>080306</v>
      </c>
      <c r="K652" t="s">
        <v>22</v>
      </c>
      <c r="L652" t="s">
        <v>23</v>
      </c>
      <c r="M652" t="str">
        <f t="shared" si="78"/>
        <v>1</v>
      </c>
      <c r="O652" t="str">
        <f t="shared" si="82"/>
        <v>1 </v>
      </c>
      <c r="P652">
        <v>32.3</v>
      </c>
      <c r="Q652" t="s">
        <v>24</v>
      </c>
    </row>
    <row r="653" spans="1:17" ht="15">
      <c r="A653" t="s">
        <v>17</v>
      </c>
      <c r="B653" s="1">
        <v>43152</v>
      </c>
      <c r="C653" t="s">
        <v>587</v>
      </c>
      <c r="D653" t="str">
        <f>CONCATENATE("0070006762","")</f>
        <v>0070006762</v>
      </c>
      <c r="E653" t="str">
        <f>CONCATENATE("0031110002260       ","")</f>
        <v>0031110002260       </v>
      </c>
      <c r="F653" t="str">
        <f>CONCATENATE("605283777","")</f>
        <v>605283777</v>
      </c>
      <c r="G653" t="s">
        <v>1280</v>
      </c>
      <c r="H653" t="s">
        <v>1283</v>
      </c>
      <c r="I653" t="s">
        <v>1282</v>
      </c>
      <c r="J653" t="str">
        <f t="shared" si="81"/>
        <v>080306</v>
      </c>
      <c r="K653" t="s">
        <v>22</v>
      </c>
      <c r="L653" t="s">
        <v>23</v>
      </c>
      <c r="M653" t="str">
        <f t="shared" si="78"/>
        <v>1</v>
      </c>
      <c r="O653" t="str">
        <f t="shared" si="82"/>
        <v>1 </v>
      </c>
      <c r="P653">
        <v>21.75</v>
      </c>
      <c r="Q653" t="s">
        <v>24</v>
      </c>
    </row>
    <row r="654" spans="1:17" ht="15">
      <c r="A654" t="s">
        <v>17</v>
      </c>
      <c r="B654" s="1">
        <v>43152</v>
      </c>
      <c r="C654" t="s">
        <v>587</v>
      </c>
      <c r="D654" t="str">
        <f>CONCATENATE("0070006797","")</f>
        <v>0070006797</v>
      </c>
      <c r="E654" t="str">
        <f>CONCATENATE("0031115000140       ","")</f>
        <v>0031115000140       </v>
      </c>
      <c r="F654" t="str">
        <f>CONCATENATE("605294154","")</f>
        <v>605294154</v>
      </c>
      <c r="G654" t="s">
        <v>1284</v>
      </c>
      <c r="H654" t="s">
        <v>1285</v>
      </c>
      <c r="I654" t="s">
        <v>1286</v>
      </c>
      <c r="J654" t="str">
        <f t="shared" si="81"/>
        <v>080306</v>
      </c>
      <c r="K654" t="s">
        <v>22</v>
      </c>
      <c r="L654" t="s">
        <v>23</v>
      </c>
      <c r="M654" t="str">
        <f t="shared" si="78"/>
        <v>1</v>
      </c>
      <c r="O654" t="str">
        <f t="shared" si="82"/>
        <v>1 </v>
      </c>
      <c r="P654">
        <v>18.4</v>
      </c>
      <c r="Q654" t="s">
        <v>24</v>
      </c>
    </row>
    <row r="655" spans="1:17" ht="15">
      <c r="A655" t="s">
        <v>17</v>
      </c>
      <c r="B655" s="1">
        <v>43152</v>
      </c>
      <c r="C655" t="s">
        <v>587</v>
      </c>
      <c r="D655" t="str">
        <f>CONCATENATE("0070016939","")</f>
        <v>0070016939</v>
      </c>
      <c r="E655" t="str">
        <f>CONCATENATE("0031116000050       ","")</f>
        <v>0031116000050       </v>
      </c>
      <c r="F655" t="str">
        <f>CONCATENATE("607297746","")</f>
        <v>607297746</v>
      </c>
      <c r="G655" t="s">
        <v>1287</v>
      </c>
      <c r="H655" t="s">
        <v>1288</v>
      </c>
      <c r="I655" t="s">
        <v>1289</v>
      </c>
      <c r="J655" t="str">
        <f t="shared" si="81"/>
        <v>080306</v>
      </c>
      <c r="K655" t="s">
        <v>22</v>
      </c>
      <c r="L655" t="s">
        <v>23</v>
      </c>
      <c r="M655" t="str">
        <f t="shared" si="78"/>
        <v>1</v>
      </c>
      <c r="O655" t="str">
        <f t="shared" si="82"/>
        <v>1 </v>
      </c>
      <c r="P655">
        <v>10.3</v>
      </c>
      <c r="Q655" t="s">
        <v>24</v>
      </c>
    </row>
    <row r="656" spans="1:17" ht="15">
      <c r="A656" t="s">
        <v>17</v>
      </c>
      <c r="B656" s="1">
        <v>43152</v>
      </c>
      <c r="C656" t="s">
        <v>587</v>
      </c>
      <c r="D656" t="str">
        <f>CONCATENATE("0070006845","")</f>
        <v>0070006845</v>
      </c>
      <c r="E656" t="str">
        <f>CONCATENATE("0031120000050       ","")</f>
        <v>0031120000050       </v>
      </c>
      <c r="F656" t="str">
        <f>CONCATENATE("605086642","")</f>
        <v>605086642</v>
      </c>
      <c r="G656" t="s">
        <v>1290</v>
      </c>
      <c r="H656" t="s">
        <v>1291</v>
      </c>
      <c r="I656" t="s">
        <v>1292</v>
      </c>
      <c r="J656" t="str">
        <f t="shared" si="81"/>
        <v>080306</v>
      </c>
      <c r="K656" t="s">
        <v>22</v>
      </c>
      <c r="L656" t="s">
        <v>23</v>
      </c>
      <c r="M656" t="str">
        <f t="shared" si="78"/>
        <v>1</v>
      </c>
      <c r="O656" t="str">
        <f t="shared" si="82"/>
        <v>1 </v>
      </c>
      <c r="P656">
        <v>22.7</v>
      </c>
      <c r="Q656" t="s">
        <v>24</v>
      </c>
    </row>
    <row r="657" spans="1:17" ht="15">
      <c r="A657" t="s">
        <v>17</v>
      </c>
      <c r="B657" s="1">
        <v>43152</v>
      </c>
      <c r="C657" t="s">
        <v>587</v>
      </c>
      <c r="D657" t="str">
        <f>CONCATENATE("0070020655","")</f>
        <v>0070020655</v>
      </c>
      <c r="E657" t="str">
        <f>CONCATENATE("0031120000360       ","")</f>
        <v>0031120000360       </v>
      </c>
      <c r="F657" t="str">
        <f>CONCATENATE("607663099","")</f>
        <v>607663099</v>
      </c>
      <c r="G657" t="s">
        <v>1290</v>
      </c>
      <c r="H657" t="s">
        <v>1293</v>
      </c>
      <c r="I657" t="s">
        <v>1294</v>
      </c>
      <c r="J657" t="str">
        <f t="shared" si="81"/>
        <v>080306</v>
      </c>
      <c r="K657" t="s">
        <v>22</v>
      </c>
      <c r="L657" t="s">
        <v>23</v>
      </c>
      <c r="M657" t="str">
        <f t="shared" si="78"/>
        <v>1</v>
      </c>
      <c r="O657" t="str">
        <f>CONCATENATE("2 ","")</f>
        <v>2 </v>
      </c>
      <c r="P657">
        <v>188.25</v>
      </c>
      <c r="Q657" t="s">
        <v>24</v>
      </c>
    </row>
    <row r="658" spans="1:17" ht="15">
      <c r="A658" t="s">
        <v>17</v>
      </c>
      <c r="B658" s="1">
        <v>43152</v>
      </c>
      <c r="C658" t="s">
        <v>587</v>
      </c>
      <c r="D658" t="str">
        <f>CONCATENATE("0070006879","")</f>
        <v>0070006879</v>
      </c>
      <c r="E658" t="str">
        <f>CONCATENATE("0031120000390       ","")</f>
        <v>0031120000390       </v>
      </c>
      <c r="F658" t="str">
        <f>CONCATENATE("606744444","")</f>
        <v>606744444</v>
      </c>
      <c r="G658" t="s">
        <v>1290</v>
      </c>
      <c r="H658" t="s">
        <v>1295</v>
      </c>
      <c r="I658" t="s">
        <v>1292</v>
      </c>
      <c r="J658" t="str">
        <f t="shared" si="81"/>
        <v>080306</v>
      </c>
      <c r="K658" t="s">
        <v>22</v>
      </c>
      <c r="L658" t="s">
        <v>23</v>
      </c>
      <c r="M658" t="str">
        <f t="shared" si="78"/>
        <v>1</v>
      </c>
      <c r="O658" t="str">
        <f>CONCATENATE("1 ","")</f>
        <v>1 </v>
      </c>
      <c r="P658">
        <v>20.85</v>
      </c>
      <c r="Q658" t="s">
        <v>24</v>
      </c>
    </row>
    <row r="659" spans="1:17" ht="15">
      <c r="A659" t="s">
        <v>17</v>
      </c>
      <c r="B659" s="1">
        <v>43152</v>
      </c>
      <c r="C659" t="s">
        <v>587</v>
      </c>
      <c r="D659" t="str">
        <f>CONCATENATE("0070006926","")</f>
        <v>0070006926</v>
      </c>
      <c r="E659" t="str">
        <f>CONCATENATE("0031120000770       ","")</f>
        <v>0031120000770       </v>
      </c>
      <c r="F659" t="str">
        <f>CONCATENATE("607297727","")</f>
        <v>607297727</v>
      </c>
      <c r="G659" t="s">
        <v>1290</v>
      </c>
      <c r="H659" t="s">
        <v>1296</v>
      </c>
      <c r="I659" t="s">
        <v>1292</v>
      </c>
      <c r="J659" t="str">
        <f t="shared" si="81"/>
        <v>080306</v>
      </c>
      <c r="K659" t="s">
        <v>22</v>
      </c>
      <c r="L659" t="s">
        <v>23</v>
      </c>
      <c r="M659" t="str">
        <f t="shared" si="78"/>
        <v>1</v>
      </c>
      <c r="O659" t="str">
        <f>CONCATENATE("1 ","")</f>
        <v>1 </v>
      </c>
      <c r="P659">
        <v>20.55</v>
      </c>
      <c r="Q659" t="s">
        <v>24</v>
      </c>
    </row>
    <row r="660" spans="1:17" ht="15">
      <c r="A660" t="s">
        <v>17</v>
      </c>
      <c r="B660" s="1">
        <v>43152</v>
      </c>
      <c r="C660" t="s">
        <v>587</v>
      </c>
      <c r="D660" t="str">
        <f>CONCATENATE("0070011675","")</f>
        <v>0070011675</v>
      </c>
      <c r="E660" t="str">
        <f>CONCATENATE("0031125000035       ","")</f>
        <v>0031125000035       </v>
      </c>
      <c r="F660" t="str">
        <f>CONCATENATE("606082550","")</f>
        <v>606082550</v>
      </c>
      <c r="G660" t="s">
        <v>1297</v>
      </c>
      <c r="H660" t="s">
        <v>1298</v>
      </c>
      <c r="I660" t="s">
        <v>1299</v>
      </c>
      <c r="J660" t="str">
        <f t="shared" si="81"/>
        <v>080306</v>
      </c>
      <c r="K660" t="s">
        <v>22</v>
      </c>
      <c r="L660" t="s">
        <v>23</v>
      </c>
      <c r="M660" t="str">
        <f t="shared" si="78"/>
        <v>1</v>
      </c>
      <c r="O660" t="str">
        <f>CONCATENATE("2 ","")</f>
        <v>2 </v>
      </c>
      <c r="P660">
        <v>17.65</v>
      </c>
      <c r="Q660" t="s">
        <v>24</v>
      </c>
    </row>
    <row r="661" spans="1:17" ht="15">
      <c r="A661" t="s">
        <v>17</v>
      </c>
      <c r="B661" s="1">
        <v>43152</v>
      </c>
      <c r="C661" t="s">
        <v>587</v>
      </c>
      <c r="D661" t="str">
        <f>CONCATENATE("0070006950","")</f>
        <v>0070006950</v>
      </c>
      <c r="E661" t="str">
        <f>CONCATENATE("0031125000190       ","")</f>
        <v>0031125000190       </v>
      </c>
      <c r="F661" t="str">
        <f>CONCATENATE("605283764","")</f>
        <v>605283764</v>
      </c>
      <c r="G661" t="s">
        <v>1297</v>
      </c>
      <c r="H661" t="s">
        <v>1300</v>
      </c>
      <c r="I661" t="s">
        <v>1301</v>
      </c>
      <c r="J661" t="str">
        <f t="shared" si="81"/>
        <v>080306</v>
      </c>
      <c r="K661" t="s">
        <v>22</v>
      </c>
      <c r="L661" t="s">
        <v>23</v>
      </c>
      <c r="M661" t="str">
        <f aca="true" t="shared" si="83" ref="M661:M672">CONCATENATE("1","")</f>
        <v>1</v>
      </c>
      <c r="O661" t="str">
        <f>CONCATENATE("1 ","")</f>
        <v>1 </v>
      </c>
      <c r="P661">
        <v>39.1</v>
      </c>
      <c r="Q661" t="s">
        <v>24</v>
      </c>
    </row>
    <row r="662" spans="1:17" ht="15">
      <c r="A662" t="s">
        <v>17</v>
      </c>
      <c r="B662" s="1">
        <v>43152</v>
      </c>
      <c r="C662" t="s">
        <v>587</v>
      </c>
      <c r="D662" t="str">
        <f>CONCATENATE("0070006970","")</f>
        <v>0070006970</v>
      </c>
      <c r="E662" t="str">
        <f>CONCATENATE("0031130000050       ","")</f>
        <v>0031130000050       </v>
      </c>
      <c r="F662" t="str">
        <f>CONCATENATE("607443651","")</f>
        <v>607443651</v>
      </c>
      <c r="G662" t="s">
        <v>1302</v>
      </c>
      <c r="H662" t="s">
        <v>1303</v>
      </c>
      <c r="I662" t="s">
        <v>1304</v>
      </c>
      <c r="J662" t="str">
        <f t="shared" si="81"/>
        <v>080306</v>
      </c>
      <c r="K662" t="s">
        <v>22</v>
      </c>
      <c r="L662" t="s">
        <v>23</v>
      </c>
      <c r="M662" t="str">
        <f t="shared" si="83"/>
        <v>1</v>
      </c>
      <c r="O662" t="str">
        <f>CONCATENATE("1 ","")</f>
        <v>1 </v>
      </c>
      <c r="P662">
        <v>10.75</v>
      </c>
      <c r="Q662" t="s">
        <v>24</v>
      </c>
    </row>
    <row r="663" spans="1:17" ht="15">
      <c r="A663" t="s">
        <v>17</v>
      </c>
      <c r="B663" s="1">
        <v>43152</v>
      </c>
      <c r="C663" t="s">
        <v>587</v>
      </c>
      <c r="D663" t="str">
        <f>CONCATENATE("0070006983","")</f>
        <v>0070006983</v>
      </c>
      <c r="E663" t="str">
        <f>CONCATENATE("0031130000170       ","")</f>
        <v>0031130000170       </v>
      </c>
      <c r="F663" t="str">
        <f>CONCATENATE("605347370","")</f>
        <v>605347370</v>
      </c>
      <c r="G663" t="s">
        <v>1305</v>
      </c>
      <c r="H663" t="s">
        <v>1306</v>
      </c>
      <c r="I663" t="s">
        <v>1304</v>
      </c>
      <c r="J663" t="str">
        <f t="shared" si="81"/>
        <v>080306</v>
      </c>
      <c r="K663" t="s">
        <v>22</v>
      </c>
      <c r="L663" t="s">
        <v>23</v>
      </c>
      <c r="M663" t="str">
        <f t="shared" si="83"/>
        <v>1</v>
      </c>
      <c r="O663" t="str">
        <f>CONCATENATE("1 ","")</f>
        <v>1 </v>
      </c>
      <c r="P663">
        <v>36</v>
      </c>
      <c r="Q663" t="s">
        <v>24</v>
      </c>
    </row>
    <row r="664" spans="1:17" ht="15">
      <c r="A664" t="s">
        <v>17</v>
      </c>
      <c r="B664" s="1">
        <v>43152</v>
      </c>
      <c r="C664" t="s">
        <v>587</v>
      </c>
      <c r="D664" t="str">
        <f>CONCATENATE("0070024330","")</f>
        <v>0070024330</v>
      </c>
      <c r="E664" t="str">
        <f>CONCATENATE("0031131000040       ","")</f>
        <v>0031131000040       </v>
      </c>
      <c r="F664" t="str">
        <f>CONCATENATE("607092406","")</f>
        <v>607092406</v>
      </c>
      <c r="G664" t="s">
        <v>1307</v>
      </c>
      <c r="H664" t="s">
        <v>1308</v>
      </c>
      <c r="I664" t="s">
        <v>1309</v>
      </c>
      <c r="J664" t="str">
        <f t="shared" si="81"/>
        <v>080306</v>
      </c>
      <c r="K664" t="s">
        <v>22</v>
      </c>
      <c r="L664" t="s">
        <v>23</v>
      </c>
      <c r="M664" t="str">
        <f t="shared" si="83"/>
        <v>1</v>
      </c>
      <c r="O664" t="str">
        <f>CONCATENATE("3 ","")</f>
        <v>3 </v>
      </c>
      <c r="P664">
        <v>22.6</v>
      </c>
      <c r="Q664" t="s">
        <v>24</v>
      </c>
    </row>
    <row r="665" spans="1:17" ht="15">
      <c r="A665" t="s">
        <v>17</v>
      </c>
      <c r="B665" s="1">
        <v>43152</v>
      </c>
      <c r="C665" t="s">
        <v>587</v>
      </c>
      <c r="D665" t="str">
        <f>CONCATENATE("0070024322","")</f>
        <v>0070024322</v>
      </c>
      <c r="E665" t="str">
        <f>CONCATENATE("0031131000070       ","")</f>
        <v>0031131000070       </v>
      </c>
      <c r="F665" t="str">
        <f>CONCATENATE("607647745","")</f>
        <v>607647745</v>
      </c>
      <c r="G665" t="s">
        <v>1307</v>
      </c>
      <c r="H665" t="s">
        <v>1310</v>
      </c>
      <c r="I665" t="s">
        <v>1309</v>
      </c>
      <c r="J665" t="str">
        <f t="shared" si="81"/>
        <v>080306</v>
      </c>
      <c r="K665" t="s">
        <v>22</v>
      </c>
      <c r="L665" t="s">
        <v>23</v>
      </c>
      <c r="M665" t="str">
        <f t="shared" si="83"/>
        <v>1</v>
      </c>
      <c r="O665" t="str">
        <f aca="true" t="shared" si="84" ref="O665:O670">CONCATENATE("1 ","")</f>
        <v>1 </v>
      </c>
      <c r="P665">
        <v>64.7</v>
      </c>
      <c r="Q665" t="s">
        <v>24</v>
      </c>
    </row>
    <row r="666" spans="1:17" ht="15">
      <c r="A666" t="s">
        <v>17</v>
      </c>
      <c r="B666" s="1">
        <v>43152</v>
      </c>
      <c r="C666" t="s">
        <v>587</v>
      </c>
      <c r="D666" t="str">
        <f>CONCATENATE("0070024331","")</f>
        <v>0070024331</v>
      </c>
      <c r="E666" t="str">
        <f>CONCATENATE("0031131000210       ","")</f>
        <v>0031131000210       </v>
      </c>
      <c r="F666" t="str">
        <f>CONCATENATE("607092400","")</f>
        <v>607092400</v>
      </c>
      <c r="G666" t="s">
        <v>1307</v>
      </c>
      <c r="H666" t="s">
        <v>1311</v>
      </c>
      <c r="I666" t="s">
        <v>1309</v>
      </c>
      <c r="J666" t="str">
        <f t="shared" si="81"/>
        <v>080306</v>
      </c>
      <c r="K666" t="s">
        <v>22</v>
      </c>
      <c r="L666" t="s">
        <v>23</v>
      </c>
      <c r="M666" t="str">
        <f t="shared" si="83"/>
        <v>1</v>
      </c>
      <c r="O666" t="str">
        <f t="shared" si="84"/>
        <v>1 </v>
      </c>
      <c r="P666">
        <v>19.7</v>
      </c>
      <c r="Q666" t="s">
        <v>24</v>
      </c>
    </row>
    <row r="667" spans="1:17" ht="15">
      <c r="A667" t="s">
        <v>17</v>
      </c>
      <c r="B667" s="1">
        <v>43152</v>
      </c>
      <c r="C667" t="s">
        <v>587</v>
      </c>
      <c r="D667" t="str">
        <f>CONCATENATE("0070024339","")</f>
        <v>0070024339</v>
      </c>
      <c r="E667" t="str">
        <f>CONCATENATE("0031131000240       ","")</f>
        <v>0031131000240       </v>
      </c>
      <c r="F667" t="str">
        <f>CONCATENATE("607092392","")</f>
        <v>607092392</v>
      </c>
      <c r="G667" t="s">
        <v>1307</v>
      </c>
      <c r="H667" t="s">
        <v>1312</v>
      </c>
      <c r="I667" t="s">
        <v>1309</v>
      </c>
      <c r="J667" t="str">
        <f t="shared" si="81"/>
        <v>080306</v>
      </c>
      <c r="K667" t="s">
        <v>22</v>
      </c>
      <c r="L667" t="s">
        <v>23</v>
      </c>
      <c r="M667" t="str">
        <f t="shared" si="83"/>
        <v>1</v>
      </c>
      <c r="O667" t="str">
        <f t="shared" si="84"/>
        <v>1 </v>
      </c>
      <c r="P667">
        <v>21.55</v>
      </c>
      <c r="Q667" t="s">
        <v>24</v>
      </c>
    </row>
    <row r="668" spans="1:17" ht="15">
      <c r="A668" t="s">
        <v>17</v>
      </c>
      <c r="B668" s="1">
        <v>43152</v>
      </c>
      <c r="C668" t="s">
        <v>587</v>
      </c>
      <c r="D668" t="str">
        <f>CONCATENATE("0070011903","")</f>
        <v>0070011903</v>
      </c>
      <c r="E668" t="str">
        <f>CONCATENATE("0031132000060       ","")</f>
        <v>0031132000060       </v>
      </c>
      <c r="F668" t="str">
        <f>CONCATENATE("605754483","")</f>
        <v>605754483</v>
      </c>
      <c r="G668" t="s">
        <v>1313</v>
      </c>
      <c r="H668" t="s">
        <v>1314</v>
      </c>
      <c r="I668" t="s">
        <v>1315</v>
      </c>
      <c r="J668" t="str">
        <f t="shared" si="81"/>
        <v>080306</v>
      </c>
      <c r="K668" t="s">
        <v>22</v>
      </c>
      <c r="L668" t="s">
        <v>23</v>
      </c>
      <c r="M668" t="str">
        <f t="shared" si="83"/>
        <v>1</v>
      </c>
      <c r="O668" t="str">
        <f t="shared" si="84"/>
        <v>1 </v>
      </c>
      <c r="P668">
        <v>12.55</v>
      </c>
      <c r="Q668" t="s">
        <v>24</v>
      </c>
    </row>
    <row r="669" spans="1:17" ht="15">
      <c r="A669" t="s">
        <v>17</v>
      </c>
      <c r="B669" s="1">
        <v>43152</v>
      </c>
      <c r="C669" t="s">
        <v>587</v>
      </c>
      <c r="D669" t="str">
        <f>CONCATENATE("0070024336","")</f>
        <v>0070024336</v>
      </c>
      <c r="E669" t="str">
        <f>CONCATENATE("0031132000090       ","")</f>
        <v>0031132000090       </v>
      </c>
      <c r="F669" t="str">
        <f>CONCATENATE("607092399","")</f>
        <v>607092399</v>
      </c>
      <c r="G669" t="s">
        <v>1307</v>
      </c>
      <c r="H669" t="s">
        <v>1316</v>
      </c>
      <c r="I669" t="s">
        <v>1309</v>
      </c>
      <c r="J669" t="str">
        <f t="shared" si="81"/>
        <v>080306</v>
      </c>
      <c r="K669" t="s">
        <v>22</v>
      </c>
      <c r="L669" t="s">
        <v>23</v>
      </c>
      <c r="M669" t="str">
        <f t="shared" si="83"/>
        <v>1</v>
      </c>
      <c r="O669" t="str">
        <f t="shared" si="84"/>
        <v>1 </v>
      </c>
      <c r="P669">
        <v>20.35</v>
      </c>
      <c r="Q669" t="s">
        <v>24</v>
      </c>
    </row>
    <row r="670" spans="1:17" ht="15">
      <c r="A670" t="s">
        <v>17</v>
      </c>
      <c r="B670" s="1">
        <v>43152</v>
      </c>
      <c r="C670" t="s">
        <v>587</v>
      </c>
      <c r="D670" t="str">
        <f>CONCATENATE("0070011920","")</f>
        <v>0070011920</v>
      </c>
      <c r="E670" t="str">
        <f>CONCATENATE("0031132000160       ","")</f>
        <v>0031132000160       </v>
      </c>
      <c r="F670" t="str">
        <f>CONCATENATE("606082541","")</f>
        <v>606082541</v>
      </c>
      <c r="G670" t="s">
        <v>1313</v>
      </c>
      <c r="H670" t="s">
        <v>1317</v>
      </c>
      <c r="I670" t="s">
        <v>1318</v>
      </c>
      <c r="J670" t="str">
        <f t="shared" si="81"/>
        <v>080306</v>
      </c>
      <c r="K670" t="s">
        <v>22</v>
      </c>
      <c r="L670" t="s">
        <v>23</v>
      </c>
      <c r="M670" t="str">
        <f t="shared" si="83"/>
        <v>1</v>
      </c>
      <c r="O670" t="str">
        <f t="shared" si="84"/>
        <v>1 </v>
      </c>
      <c r="P670">
        <v>10.55</v>
      </c>
      <c r="Q670" t="s">
        <v>24</v>
      </c>
    </row>
    <row r="671" spans="1:17" ht="15">
      <c r="A671" t="s">
        <v>17</v>
      </c>
      <c r="B671" s="1">
        <v>43152</v>
      </c>
      <c r="C671" t="s">
        <v>587</v>
      </c>
      <c r="D671" t="str">
        <f>CONCATENATE("0070024321","")</f>
        <v>0070024321</v>
      </c>
      <c r="E671" t="str">
        <f>CONCATENATE("0031132000165       ","")</f>
        <v>0031132000165       </v>
      </c>
      <c r="F671" t="str">
        <f>CONCATENATE("607092297","")</f>
        <v>607092297</v>
      </c>
      <c r="G671" t="s">
        <v>1313</v>
      </c>
      <c r="H671" t="s">
        <v>1319</v>
      </c>
      <c r="I671" t="s">
        <v>1309</v>
      </c>
      <c r="J671" t="str">
        <f t="shared" si="81"/>
        <v>080306</v>
      </c>
      <c r="K671" t="s">
        <v>22</v>
      </c>
      <c r="L671" t="s">
        <v>23</v>
      </c>
      <c r="M671" t="str">
        <f t="shared" si="83"/>
        <v>1</v>
      </c>
      <c r="O671" t="str">
        <f>CONCATENATE("3 ","")</f>
        <v>3 </v>
      </c>
      <c r="P671">
        <v>21.7</v>
      </c>
      <c r="Q671" t="s">
        <v>24</v>
      </c>
    </row>
    <row r="672" spans="1:17" ht="15">
      <c r="A672" t="s">
        <v>17</v>
      </c>
      <c r="B672" s="1">
        <v>43152</v>
      </c>
      <c r="C672" t="s">
        <v>587</v>
      </c>
      <c r="D672" t="str">
        <f>CONCATENATE("0070015299","")</f>
        <v>0070015299</v>
      </c>
      <c r="E672" t="str">
        <f>CONCATENATE("0031135000086       ","")</f>
        <v>0031135000086       </v>
      </c>
      <c r="F672" t="str">
        <f>CONCATENATE("607295279","")</f>
        <v>607295279</v>
      </c>
      <c r="G672" t="s">
        <v>1320</v>
      </c>
      <c r="H672" t="s">
        <v>1321</v>
      </c>
      <c r="I672" t="s">
        <v>1322</v>
      </c>
      <c r="J672" t="str">
        <f t="shared" si="81"/>
        <v>080306</v>
      </c>
      <c r="K672" t="s">
        <v>22</v>
      </c>
      <c r="L672" t="s">
        <v>23</v>
      </c>
      <c r="M672" t="str">
        <f t="shared" si="83"/>
        <v>1</v>
      </c>
      <c r="O672" t="str">
        <f>CONCATENATE("3 ","")</f>
        <v>3 </v>
      </c>
      <c r="P672">
        <v>184.3</v>
      </c>
      <c r="Q672" t="s">
        <v>24</v>
      </c>
    </row>
    <row r="673" spans="1:17" ht="15">
      <c r="A673" t="s">
        <v>17</v>
      </c>
      <c r="B673" s="1">
        <v>43152</v>
      </c>
      <c r="C673" t="s">
        <v>587</v>
      </c>
      <c r="D673" t="str">
        <f>CONCATENATE("0070007052","")</f>
        <v>0070007052</v>
      </c>
      <c r="E673" t="str">
        <f>CONCATENATE("0031135000190       ","")</f>
        <v>0031135000190       </v>
      </c>
      <c r="F673" t="str">
        <f>CONCATENATE("507009140","")</f>
        <v>507009140</v>
      </c>
      <c r="G673" t="s">
        <v>1320</v>
      </c>
      <c r="H673" t="s">
        <v>1323</v>
      </c>
      <c r="I673" t="s">
        <v>587</v>
      </c>
      <c r="J673" t="str">
        <f t="shared" si="81"/>
        <v>080306</v>
      </c>
      <c r="K673" t="s">
        <v>22</v>
      </c>
      <c r="L673" t="s">
        <v>23</v>
      </c>
      <c r="M673" t="str">
        <f>CONCATENATE("3","")</f>
        <v>3</v>
      </c>
      <c r="O673" t="str">
        <f>CONCATENATE("1 ","")</f>
        <v>1 </v>
      </c>
      <c r="P673">
        <v>64.8</v>
      </c>
      <c r="Q673" t="s">
        <v>51</v>
      </c>
    </row>
    <row r="674" spans="1:17" ht="15">
      <c r="A674" t="s">
        <v>17</v>
      </c>
      <c r="B674" s="1">
        <v>43152</v>
      </c>
      <c r="C674" t="s">
        <v>587</v>
      </c>
      <c r="D674" t="str">
        <f>CONCATENATE("0070007124","")</f>
        <v>0070007124</v>
      </c>
      <c r="E674" t="str">
        <f>CONCATENATE("0031135000369       ","")</f>
        <v>0031135000369       </v>
      </c>
      <c r="F674" t="str">
        <f>CONCATENATE("606744449","")</f>
        <v>606744449</v>
      </c>
      <c r="G674" t="s">
        <v>1324</v>
      </c>
      <c r="H674" t="s">
        <v>1325</v>
      </c>
      <c r="I674" t="s">
        <v>587</v>
      </c>
      <c r="J674" t="str">
        <f t="shared" si="81"/>
        <v>080306</v>
      </c>
      <c r="K674" t="s">
        <v>22</v>
      </c>
      <c r="L674" t="s">
        <v>23</v>
      </c>
      <c r="M674" t="str">
        <f aca="true" t="shared" si="85" ref="M674:M709">CONCATENATE("1","")</f>
        <v>1</v>
      </c>
      <c r="O674" t="str">
        <f>CONCATENATE("2 ","")</f>
        <v>2 </v>
      </c>
      <c r="P674">
        <v>17.8</v>
      </c>
      <c r="Q674" t="s">
        <v>24</v>
      </c>
    </row>
    <row r="675" spans="1:17" ht="15">
      <c r="A675" t="s">
        <v>17</v>
      </c>
      <c r="B675" s="1">
        <v>43152</v>
      </c>
      <c r="C675" t="s">
        <v>587</v>
      </c>
      <c r="D675" t="str">
        <f>CONCATENATE("0070007030","")</f>
        <v>0070007030</v>
      </c>
      <c r="E675" t="str">
        <f>CONCATENATE("0031135000525       ","")</f>
        <v>0031135000525       </v>
      </c>
      <c r="F675" t="str">
        <f>CONCATENATE("2185859","")</f>
        <v>2185859</v>
      </c>
      <c r="G675" t="s">
        <v>1326</v>
      </c>
      <c r="H675" t="s">
        <v>1327</v>
      </c>
      <c r="I675" t="s">
        <v>587</v>
      </c>
      <c r="J675" t="str">
        <f t="shared" si="81"/>
        <v>080306</v>
      </c>
      <c r="K675" t="s">
        <v>22</v>
      </c>
      <c r="L675" t="s">
        <v>23</v>
      </c>
      <c r="M675" t="str">
        <f t="shared" si="85"/>
        <v>1</v>
      </c>
      <c r="O675" t="str">
        <f>CONCATENATE("1 ","")</f>
        <v>1 </v>
      </c>
      <c r="P675">
        <v>200.6</v>
      </c>
      <c r="Q675" t="s">
        <v>24</v>
      </c>
    </row>
    <row r="676" spans="1:17" ht="15">
      <c r="A676" t="s">
        <v>17</v>
      </c>
      <c r="B676" s="1">
        <v>43152</v>
      </c>
      <c r="C676" t="s">
        <v>587</v>
      </c>
      <c r="D676" t="str">
        <f>CONCATENATE("0070025174","")</f>
        <v>0070025174</v>
      </c>
      <c r="E676" t="str">
        <f>CONCATENATE("0031135000712       ","")</f>
        <v>0031135000712       </v>
      </c>
      <c r="F676" t="str">
        <f>CONCATENATE("607446455","")</f>
        <v>607446455</v>
      </c>
      <c r="G676" t="s">
        <v>1320</v>
      </c>
      <c r="H676" t="s">
        <v>1328</v>
      </c>
      <c r="I676" t="s">
        <v>1329</v>
      </c>
      <c r="J676" t="str">
        <f aca="true" t="shared" si="86" ref="J676:J708">CONCATENATE("080306","")</f>
        <v>080306</v>
      </c>
      <c r="K676" t="s">
        <v>22</v>
      </c>
      <c r="L676" t="s">
        <v>23</v>
      </c>
      <c r="M676" t="str">
        <f t="shared" si="85"/>
        <v>1</v>
      </c>
      <c r="O676" t="str">
        <f>CONCATENATE("1 ","")</f>
        <v>1 </v>
      </c>
      <c r="P676">
        <v>179.45</v>
      </c>
      <c r="Q676" t="s">
        <v>24</v>
      </c>
    </row>
    <row r="677" spans="1:17" ht="15">
      <c r="A677" t="s">
        <v>17</v>
      </c>
      <c r="B677" s="1">
        <v>43152</v>
      </c>
      <c r="C677" t="s">
        <v>587</v>
      </c>
      <c r="D677" t="str">
        <f>CONCATENATE("0070023229","")</f>
        <v>0070023229</v>
      </c>
      <c r="E677" t="str">
        <f>CONCATENATE("0031135000904       ","")</f>
        <v>0031135000904       </v>
      </c>
      <c r="F677" t="str">
        <f>CONCATENATE("606593896","")</f>
        <v>606593896</v>
      </c>
      <c r="G677" t="s">
        <v>1326</v>
      </c>
      <c r="H677" t="s">
        <v>1330</v>
      </c>
      <c r="I677" t="s">
        <v>1331</v>
      </c>
      <c r="J677" t="str">
        <f t="shared" si="86"/>
        <v>080306</v>
      </c>
      <c r="K677" t="s">
        <v>22</v>
      </c>
      <c r="L677" t="s">
        <v>23</v>
      </c>
      <c r="M677" t="str">
        <f t="shared" si="85"/>
        <v>1</v>
      </c>
      <c r="O677" t="str">
        <f>CONCATENATE("1 ","")</f>
        <v>1 </v>
      </c>
      <c r="P677">
        <v>21.25</v>
      </c>
      <c r="Q677" t="s">
        <v>24</v>
      </c>
    </row>
    <row r="678" spans="1:17" ht="15">
      <c r="A678" t="s">
        <v>17</v>
      </c>
      <c r="B678" s="1">
        <v>43152</v>
      </c>
      <c r="C678" t="s">
        <v>587</v>
      </c>
      <c r="D678" t="str">
        <f>CONCATENATE("0070010054","")</f>
        <v>0070010054</v>
      </c>
      <c r="E678" t="str">
        <f>CONCATENATE("0031135000906       ","")</f>
        <v>0031135000906       </v>
      </c>
      <c r="F678" t="str">
        <f>CONCATENATE("2015023849","")</f>
        <v>2015023849</v>
      </c>
      <c r="G678" t="s">
        <v>1326</v>
      </c>
      <c r="H678" t="s">
        <v>1332</v>
      </c>
      <c r="I678" t="s">
        <v>587</v>
      </c>
      <c r="J678" t="str">
        <f t="shared" si="86"/>
        <v>080306</v>
      </c>
      <c r="K678" t="s">
        <v>22</v>
      </c>
      <c r="L678" t="s">
        <v>23</v>
      </c>
      <c r="M678" t="str">
        <f t="shared" si="85"/>
        <v>1</v>
      </c>
      <c r="O678" t="str">
        <f>CONCATENATE("1 ","")</f>
        <v>1 </v>
      </c>
      <c r="P678">
        <v>486.75</v>
      </c>
      <c r="Q678" t="s">
        <v>24</v>
      </c>
    </row>
    <row r="679" spans="1:17" ht="15">
      <c r="A679" t="s">
        <v>17</v>
      </c>
      <c r="B679" s="1">
        <v>43152</v>
      </c>
      <c r="C679" t="s">
        <v>587</v>
      </c>
      <c r="D679" t="str">
        <f>CONCATENATE("0070007004","")</f>
        <v>0070007004</v>
      </c>
      <c r="E679" t="str">
        <f>CONCATENATE("0031135000920       ","")</f>
        <v>0031135000920       </v>
      </c>
      <c r="F679" t="str">
        <f>CONCATENATE("1940415","")</f>
        <v>1940415</v>
      </c>
      <c r="G679" t="s">
        <v>1326</v>
      </c>
      <c r="H679" t="s">
        <v>1333</v>
      </c>
      <c r="I679" t="s">
        <v>587</v>
      </c>
      <c r="J679" t="str">
        <f t="shared" si="86"/>
        <v>080306</v>
      </c>
      <c r="K679" t="s">
        <v>22</v>
      </c>
      <c r="L679" t="s">
        <v>23</v>
      </c>
      <c r="M679" t="str">
        <f t="shared" si="85"/>
        <v>1</v>
      </c>
      <c r="O679" t="str">
        <f>CONCATENATE("1 ","")</f>
        <v>1 </v>
      </c>
      <c r="P679">
        <v>226.3</v>
      </c>
      <c r="Q679" t="s">
        <v>24</v>
      </c>
    </row>
    <row r="680" spans="1:17" ht="15">
      <c r="A680" t="s">
        <v>17</v>
      </c>
      <c r="B680" s="1">
        <v>43152</v>
      </c>
      <c r="C680" t="s">
        <v>587</v>
      </c>
      <c r="D680" t="str">
        <f>CONCATENATE("0070012131","")</f>
        <v>0070012131</v>
      </c>
      <c r="E680" t="str">
        <f>CONCATENATE("0031135000930       ","")</f>
        <v>0031135000930       </v>
      </c>
      <c r="F680" t="str">
        <f>CONCATENATE("606085842","")</f>
        <v>606085842</v>
      </c>
      <c r="G680" t="s">
        <v>1326</v>
      </c>
      <c r="H680" t="s">
        <v>1334</v>
      </c>
      <c r="I680" t="s">
        <v>1335</v>
      </c>
      <c r="J680" t="str">
        <f t="shared" si="86"/>
        <v>080306</v>
      </c>
      <c r="K680" t="s">
        <v>22</v>
      </c>
      <c r="L680" t="s">
        <v>23</v>
      </c>
      <c r="M680" t="str">
        <f t="shared" si="85"/>
        <v>1</v>
      </c>
      <c r="O680" t="str">
        <f>CONCATENATE("2 ","")</f>
        <v>2 </v>
      </c>
      <c r="P680">
        <v>35.6</v>
      </c>
      <c r="Q680" t="s">
        <v>24</v>
      </c>
    </row>
    <row r="681" spans="1:17" ht="15">
      <c r="A681" t="s">
        <v>17</v>
      </c>
      <c r="B681" s="1">
        <v>43152</v>
      </c>
      <c r="C681" t="s">
        <v>587</v>
      </c>
      <c r="D681" t="str">
        <f>CONCATENATE("0070012117","")</f>
        <v>0070012117</v>
      </c>
      <c r="E681" t="str">
        <f>CONCATENATE("0031136000110       ","")</f>
        <v>0031136000110       </v>
      </c>
      <c r="F681" t="str">
        <f>CONCATENATE("605750864","")</f>
        <v>605750864</v>
      </c>
      <c r="G681" t="s">
        <v>1336</v>
      </c>
      <c r="H681" t="s">
        <v>1337</v>
      </c>
      <c r="I681" t="s">
        <v>1338</v>
      </c>
      <c r="J681" t="str">
        <f t="shared" si="86"/>
        <v>080306</v>
      </c>
      <c r="K681" t="s">
        <v>22</v>
      </c>
      <c r="L681" t="s">
        <v>23</v>
      </c>
      <c r="M681" t="str">
        <f t="shared" si="85"/>
        <v>1</v>
      </c>
      <c r="O681" t="str">
        <f>CONCATENATE("1 ","")</f>
        <v>1 </v>
      </c>
      <c r="P681">
        <v>62.1</v>
      </c>
      <c r="Q681" t="s">
        <v>24</v>
      </c>
    </row>
    <row r="682" spans="1:17" ht="15">
      <c r="A682" t="s">
        <v>17</v>
      </c>
      <c r="B682" s="1">
        <v>43152</v>
      </c>
      <c r="C682" t="s">
        <v>587</v>
      </c>
      <c r="D682" t="str">
        <f>CONCATENATE("0070012122","")</f>
        <v>0070012122</v>
      </c>
      <c r="E682" t="str">
        <f>CONCATENATE("0031136000350       ","")</f>
        <v>0031136000350       </v>
      </c>
      <c r="F682" t="str">
        <f>CONCATENATE("606085846","")</f>
        <v>606085846</v>
      </c>
      <c r="G682" t="s">
        <v>1336</v>
      </c>
      <c r="H682" t="s">
        <v>1339</v>
      </c>
      <c r="I682" t="s">
        <v>1338</v>
      </c>
      <c r="J682" t="str">
        <f t="shared" si="86"/>
        <v>080306</v>
      </c>
      <c r="K682" t="s">
        <v>22</v>
      </c>
      <c r="L682" t="s">
        <v>23</v>
      </c>
      <c r="M682" t="str">
        <f t="shared" si="85"/>
        <v>1</v>
      </c>
      <c r="O682" t="str">
        <f>CONCATENATE("1 ","")</f>
        <v>1 </v>
      </c>
      <c r="P682">
        <v>127.6</v>
      </c>
      <c r="Q682" t="s">
        <v>24</v>
      </c>
    </row>
    <row r="683" spans="1:17" ht="15">
      <c r="A683" t="s">
        <v>17</v>
      </c>
      <c r="B683" s="1">
        <v>43152</v>
      </c>
      <c r="C683" t="s">
        <v>587</v>
      </c>
      <c r="D683" t="str">
        <f>CONCATENATE("0070007013","")</f>
        <v>0070007013</v>
      </c>
      <c r="E683" t="str">
        <f>CONCATENATE("0031136000370       ","")</f>
        <v>0031136000370       </v>
      </c>
      <c r="F683" t="str">
        <f>CONCATENATE("607310819","")</f>
        <v>607310819</v>
      </c>
      <c r="G683" t="s">
        <v>1336</v>
      </c>
      <c r="H683" t="s">
        <v>1340</v>
      </c>
      <c r="I683" t="s">
        <v>1341</v>
      </c>
      <c r="J683" t="str">
        <f t="shared" si="86"/>
        <v>080306</v>
      </c>
      <c r="K683" t="s">
        <v>22</v>
      </c>
      <c r="L683" t="s">
        <v>23</v>
      </c>
      <c r="M683" t="str">
        <f t="shared" si="85"/>
        <v>1</v>
      </c>
      <c r="O683" t="str">
        <f>CONCATENATE("1 ","")</f>
        <v>1 </v>
      </c>
      <c r="P683">
        <v>209.9</v>
      </c>
      <c r="Q683" t="s">
        <v>24</v>
      </c>
    </row>
    <row r="684" spans="1:17" ht="15">
      <c r="A684" t="s">
        <v>17</v>
      </c>
      <c r="B684" s="1">
        <v>43152</v>
      </c>
      <c r="C684" t="s">
        <v>587</v>
      </c>
      <c r="D684" t="str">
        <f>CONCATENATE("0070024181","")</f>
        <v>0070024181</v>
      </c>
      <c r="E684" t="str">
        <f>CONCATENATE("0031136000382       ","")</f>
        <v>0031136000382       </v>
      </c>
      <c r="F684" t="str">
        <f>CONCATENATE("606809934","")</f>
        <v>606809934</v>
      </c>
      <c r="G684" t="s">
        <v>1336</v>
      </c>
      <c r="H684" t="s">
        <v>1342</v>
      </c>
      <c r="I684" t="s">
        <v>1343</v>
      </c>
      <c r="J684" t="str">
        <f t="shared" si="86"/>
        <v>080306</v>
      </c>
      <c r="K684" t="s">
        <v>22</v>
      </c>
      <c r="L684" t="s">
        <v>23</v>
      </c>
      <c r="M684" t="str">
        <f t="shared" si="85"/>
        <v>1</v>
      </c>
      <c r="O684" t="str">
        <f>CONCATENATE("1 ","")</f>
        <v>1 </v>
      </c>
      <c r="P684">
        <v>34.45</v>
      </c>
      <c r="Q684" t="s">
        <v>24</v>
      </c>
    </row>
    <row r="685" spans="1:17" ht="15">
      <c r="A685" t="s">
        <v>17</v>
      </c>
      <c r="B685" s="1">
        <v>43152</v>
      </c>
      <c r="C685" t="s">
        <v>587</v>
      </c>
      <c r="D685" t="str">
        <f>CONCATENATE("0070016381","")</f>
        <v>0070016381</v>
      </c>
      <c r="E685" t="str">
        <f>CONCATENATE("0031136001543       ","")</f>
        <v>0031136001543       </v>
      </c>
      <c r="F685" t="str">
        <f>CONCATENATE("606899467","")</f>
        <v>606899467</v>
      </c>
      <c r="G685" t="s">
        <v>1336</v>
      </c>
      <c r="H685" t="s">
        <v>1344</v>
      </c>
      <c r="I685" t="s">
        <v>1331</v>
      </c>
      <c r="J685" t="str">
        <f t="shared" si="86"/>
        <v>080306</v>
      </c>
      <c r="K685" t="s">
        <v>22</v>
      </c>
      <c r="L685" t="s">
        <v>23</v>
      </c>
      <c r="M685" t="str">
        <f t="shared" si="85"/>
        <v>1</v>
      </c>
      <c r="O685" t="str">
        <f>CONCATENATE("1 ","")</f>
        <v>1 </v>
      </c>
      <c r="P685">
        <v>50.75</v>
      </c>
      <c r="Q685" t="s">
        <v>24</v>
      </c>
    </row>
    <row r="686" spans="1:17" ht="15">
      <c r="A686" t="s">
        <v>17</v>
      </c>
      <c r="B686" s="1">
        <v>43152</v>
      </c>
      <c r="C686" t="s">
        <v>587</v>
      </c>
      <c r="D686" t="str">
        <f>CONCATENATE("0070011293","")</f>
        <v>0070011293</v>
      </c>
      <c r="E686" t="str">
        <f>CONCATENATE("0031136001660       ","")</f>
        <v>0031136001660       </v>
      </c>
      <c r="F686" t="str">
        <f>CONCATENATE("0605770936","")</f>
        <v>0605770936</v>
      </c>
      <c r="G686" t="s">
        <v>1336</v>
      </c>
      <c r="H686" t="s">
        <v>1345</v>
      </c>
      <c r="I686" t="s">
        <v>1346</v>
      </c>
      <c r="J686" t="str">
        <f t="shared" si="86"/>
        <v>080306</v>
      </c>
      <c r="K686" t="s">
        <v>22</v>
      </c>
      <c r="L686" t="s">
        <v>23</v>
      </c>
      <c r="M686" t="str">
        <f t="shared" si="85"/>
        <v>1</v>
      </c>
      <c r="O686" t="str">
        <f>CONCATENATE("2 ","")</f>
        <v>2 </v>
      </c>
      <c r="P686">
        <v>41.7</v>
      </c>
      <c r="Q686" t="s">
        <v>24</v>
      </c>
    </row>
    <row r="687" spans="1:17" ht="15">
      <c r="A687" t="s">
        <v>17</v>
      </c>
      <c r="B687" s="1">
        <v>43152</v>
      </c>
      <c r="C687" t="s">
        <v>587</v>
      </c>
      <c r="D687" t="str">
        <f>CONCATENATE("0070012184","")</f>
        <v>0070012184</v>
      </c>
      <c r="E687" t="str">
        <f>CONCATENATE("0031137000140       ","")</f>
        <v>0031137000140       </v>
      </c>
      <c r="F687" t="str">
        <f>CONCATENATE("2014022898","")</f>
        <v>2014022898</v>
      </c>
      <c r="G687" t="s">
        <v>1347</v>
      </c>
      <c r="H687" t="s">
        <v>1348</v>
      </c>
      <c r="I687" t="e">
        <f>-RIOJA-ANDENES-LIMATAMBO</f>
        <v>#NAME?</v>
      </c>
      <c r="J687" t="str">
        <f t="shared" si="86"/>
        <v>080306</v>
      </c>
      <c r="K687" t="s">
        <v>22</v>
      </c>
      <c r="L687" t="s">
        <v>23</v>
      </c>
      <c r="M687" t="str">
        <f t="shared" si="85"/>
        <v>1</v>
      </c>
      <c r="O687" t="str">
        <f>CONCATENATE("2 ","")</f>
        <v>2 </v>
      </c>
      <c r="P687">
        <v>287.65</v>
      </c>
      <c r="Q687" t="s">
        <v>24</v>
      </c>
    </row>
    <row r="688" spans="1:17" ht="15">
      <c r="A688" t="s">
        <v>17</v>
      </c>
      <c r="B688" s="1">
        <v>43152</v>
      </c>
      <c r="C688" t="s">
        <v>587</v>
      </c>
      <c r="D688" t="str">
        <f>CONCATENATE("0070014526","")</f>
        <v>0070014526</v>
      </c>
      <c r="E688" t="str">
        <f>CONCATENATE("0031138000025       ","")</f>
        <v>0031138000025       </v>
      </c>
      <c r="F688" t="str">
        <f>CONCATENATE("606744472","")</f>
        <v>606744472</v>
      </c>
      <c r="G688" t="s">
        <v>1349</v>
      </c>
      <c r="H688" t="s">
        <v>1350</v>
      </c>
      <c r="I688" t="s">
        <v>1351</v>
      </c>
      <c r="J688" t="str">
        <f t="shared" si="86"/>
        <v>080306</v>
      </c>
      <c r="K688" t="s">
        <v>22</v>
      </c>
      <c r="L688" t="s">
        <v>23</v>
      </c>
      <c r="M688" t="str">
        <f t="shared" si="85"/>
        <v>1</v>
      </c>
      <c r="O688" t="str">
        <f>CONCATENATE("1 ","")</f>
        <v>1 </v>
      </c>
      <c r="P688">
        <v>27.65</v>
      </c>
      <c r="Q688" t="s">
        <v>24</v>
      </c>
    </row>
    <row r="689" spans="1:17" ht="15">
      <c r="A689" t="s">
        <v>17</v>
      </c>
      <c r="B689" s="1">
        <v>43152</v>
      </c>
      <c r="C689" t="s">
        <v>587</v>
      </c>
      <c r="D689" t="str">
        <f>CONCATENATE("0070023905","")</f>
        <v>0070023905</v>
      </c>
      <c r="E689" t="str">
        <f>CONCATENATE("0031138000027       ","")</f>
        <v>0031138000027       </v>
      </c>
      <c r="F689" t="str">
        <f>CONCATENATE("606676406","")</f>
        <v>606676406</v>
      </c>
      <c r="G689" t="s">
        <v>1349</v>
      </c>
      <c r="H689" t="s">
        <v>1352</v>
      </c>
      <c r="I689" t="e">
        <f>-SECTOR-CAPULIYOC---CHINCHAYBA</f>
        <v>#NAME?</v>
      </c>
      <c r="J689" t="str">
        <f t="shared" si="86"/>
        <v>080306</v>
      </c>
      <c r="K689" t="s">
        <v>22</v>
      </c>
      <c r="L689" t="s">
        <v>23</v>
      </c>
      <c r="M689" t="str">
        <f t="shared" si="85"/>
        <v>1</v>
      </c>
      <c r="O689" t="str">
        <f>CONCATENATE("3 ","")</f>
        <v>3 </v>
      </c>
      <c r="P689">
        <v>24.35</v>
      </c>
      <c r="Q689" t="s">
        <v>24</v>
      </c>
    </row>
    <row r="690" spans="1:17" ht="15">
      <c r="A690" t="s">
        <v>17</v>
      </c>
      <c r="B690" s="1">
        <v>43152</v>
      </c>
      <c r="C690" t="s">
        <v>587</v>
      </c>
      <c r="D690" t="str">
        <f>CONCATENATE("0070018622","")</f>
        <v>0070018622</v>
      </c>
      <c r="E690" t="str">
        <f>CONCATENATE("0031138000095       ","")</f>
        <v>0031138000095       </v>
      </c>
      <c r="F690" t="str">
        <f>CONCATENATE("606846895","")</f>
        <v>606846895</v>
      </c>
      <c r="G690" t="s">
        <v>1349</v>
      </c>
      <c r="H690" t="s">
        <v>1353</v>
      </c>
      <c r="I690" t="s">
        <v>1351</v>
      </c>
      <c r="J690" t="str">
        <f t="shared" si="86"/>
        <v>080306</v>
      </c>
      <c r="K690" t="s">
        <v>22</v>
      </c>
      <c r="L690" t="s">
        <v>23</v>
      </c>
      <c r="M690" t="str">
        <f t="shared" si="85"/>
        <v>1</v>
      </c>
      <c r="O690" t="str">
        <f aca="true" t="shared" si="87" ref="O690:O697">CONCATENATE("1 ","")</f>
        <v>1 </v>
      </c>
      <c r="P690">
        <v>358.7</v>
      </c>
      <c r="Q690" t="s">
        <v>24</v>
      </c>
    </row>
    <row r="691" spans="1:17" ht="15">
      <c r="A691" t="s">
        <v>17</v>
      </c>
      <c r="B691" s="1">
        <v>43152</v>
      </c>
      <c r="C691" t="s">
        <v>587</v>
      </c>
      <c r="D691" t="str">
        <f>CONCATENATE("0070021213","")</f>
        <v>0070021213</v>
      </c>
      <c r="E691" t="str">
        <f>CONCATENATE("0031138000098       ","")</f>
        <v>0031138000098       </v>
      </c>
      <c r="F691" t="str">
        <f>CONCATENATE("1677924","")</f>
        <v>1677924</v>
      </c>
      <c r="G691" t="s">
        <v>1349</v>
      </c>
      <c r="H691" t="s">
        <v>1353</v>
      </c>
      <c r="I691" t="s">
        <v>1351</v>
      </c>
      <c r="J691" t="str">
        <f t="shared" si="86"/>
        <v>080306</v>
      </c>
      <c r="K691" t="s">
        <v>22</v>
      </c>
      <c r="L691" t="s">
        <v>23</v>
      </c>
      <c r="M691" t="str">
        <f t="shared" si="85"/>
        <v>1</v>
      </c>
      <c r="O691" t="str">
        <f t="shared" si="87"/>
        <v>1 </v>
      </c>
      <c r="P691">
        <v>184.6</v>
      </c>
      <c r="Q691" t="s">
        <v>24</v>
      </c>
    </row>
    <row r="692" spans="1:17" ht="15">
      <c r="A692" t="s">
        <v>17</v>
      </c>
      <c r="B692" s="1">
        <v>43152</v>
      </c>
      <c r="C692" t="s">
        <v>587</v>
      </c>
      <c r="D692" t="str">
        <f>CONCATENATE("0070011876","")</f>
        <v>0070011876</v>
      </c>
      <c r="E692" t="str">
        <f>CONCATENATE("0031141000010       ","")</f>
        <v>0031141000010       </v>
      </c>
      <c r="F692" t="str">
        <f>CONCATENATE("606907012","")</f>
        <v>606907012</v>
      </c>
      <c r="G692" t="s">
        <v>1354</v>
      </c>
      <c r="H692" t="s">
        <v>1355</v>
      </c>
      <c r="I692" t="s">
        <v>1356</v>
      </c>
      <c r="J692" t="str">
        <f t="shared" si="86"/>
        <v>080306</v>
      </c>
      <c r="K692" t="s">
        <v>22</v>
      </c>
      <c r="L692" t="s">
        <v>23</v>
      </c>
      <c r="M692" t="str">
        <f t="shared" si="85"/>
        <v>1</v>
      </c>
      <c r="O692" t="str">
        <f t="shared" si="87"/>
        <v>1 </v>
      </c>
      <c r="P692">
        <v>104.8</v>
      </c>
      <c r="Q692" t="s">
        <v>24</v>
      </c>
    </row>
    <row r="693" spans="1:17" ht="15">
      <c r="A693" t="s">
        <v>17</v>
      </c>
      <c r="B693" s="1">
        <v>43152</v>
      </c>
      <c r="C693" t="s">
        <v>587</v>
      </c>
      <c r="D693" t="str">
        <f>CONCATENATE("0070022668","")</f>
        <v>0070022668</v>
      </c>
      <c r="E693" t="str">
        <f>CONCATENATE("0031141000040       ","")</f>
        <v>0031141000040       </v>
      </c>
      <c r="F693" t="str">
        <f>CONCATENATE("2190057","")</f>
        <v>2190057</v>
      </c>
      <c r="G693" t="s">
        <v>1354</v>
      </c>
      <c r="H693" t="s">
        <v>1357</v>
      </c>
      <c r="I693" t="s">
        <v>1358</v>
      </c>
      <c r="J693" t="str">
        <f t="shared" si="86"/>
        <v>080306</v>
      </c>
      <c r="K693" t="s">
        <v>22</v>
      </c>
      <c r="L693" t="s">
        <v>23</v>
      </c>
      <c r="M693" t="str">
        <f t="shared" si="85"/>
        <v>1</v>
      </c>
      <c r="O693" t="str">
        <f t="shared" si="87"/>
        <v>1 </v>
      </c>
      <c r="P693">
        <v>69.9</v>
      </c>
      <c r="Q693" t="s">
        <v>24</v>
      </c>
    </row>
    <row r="694" spans="1:17" ht="15">
      <c r="A694" t="s">
        <v>17</v>
      </c>
      <c r="B694" s="1">
        <v>43152</v>
      </c>
      <c r="C694" t="s">
        <v>587</v>
      </c>
      <c r="D694" t="str">
        <f>CONCATENATE("0070011897","")</f>
        <v>0070011897</v>
      </c>
      <c r="E694" t="str">
        <f>CONCATENATE("0031141000170       ","")</f>
        <v>0031141000170       </v>
      </c>
      <c r="F694" t="str">
        <f>CONCATENATE("606899643","")</f>
        <v>606899643</v>
      </c>
      <c r="G694" t="s">
        <v>1354</v>
      </c>
      <c r="H694" t="s">
        <v>1359</v>
      </c>
      <c r="I694" t="s">
        <v>1356</v>
      </c>
      <c r="J694" t="str">
        <f t="shared" si="86"/>
        <v>080306</v>
      </c>
      <c r="K694" t="s">
        <v>22</v>
      </c>
      <c r="L694" t="s">
        <v>23</v>
      </c>
      <c r="M694" t="str">
        <f t="shared" si="85"/>
        <v>1</v>
      </c>
      <c r="O694" t="str">
        <f t="shared" si="87"/>
        <v>1 </v>
      </c>
      <c r="P694">
        <v>23.75</v>
      </c>
      <c r="Q694" t="s">
        <v>24</v>
      </c>
    </row>
    <row r="695" spans="1:17" ht="15">
      <c r="A695" t="s">
        <v>17</v>
      </c>
      <c r="B695" s="1">
        <v>43152</v>
      </c>
      <c r="C695" t="s">
        <v>587</v>
      </c>
      <c r="D695" t="str">
        <f>CONCATENATE("0070012249","")</f>
        <v>0070012249</v>
      </c>
      <c r="E695" t="str">
        <f>CONCATENATE("0031143000080       ","")</f>
        <v>0031143000080       </v>
      </c>
      <c r="F695" t="str">
        <f>CONCATENATE("605771982","")</f>
        <v>605771982</v>
      </c>
      <c r="G695" t="s">
        <v>1360</v>
      </c>
      <c r="H695" t="s">
        <v>1361</v>
      </c>
      <c r="I695" t="s">
        <v>1362</v>
      </c>
      <c r="J695" t="str">
        <f t="shared" si="86"/>
        <v>080306</v>
      </c>
      <c r="K695" t="s">
        <v>22</v>
      </c>
      <c r="L695" t="s">
        <v>23</v>
      </c>
      <c r="M695" t="str">
        <f t="shared" si="85"/>
        <v>1</v>
      </c>
      <c r="O695" t="str">
        <f t="shared" si="87"/>
        <v>1 </v>
      </c>
      <c r="P695">
        <v>12.3</v>
      </c>
      <c r="Q695" t="s">
        <v>24</v>
      </c>
    </row>
    <row r="696" spans="1:17" ht="15">
      <c r="A696" t="s">
        <v>17</v>
      </c>
      <c r="B696" s="1">
        <v>43152</v>
      </c>
      <c r="C696" t="s">
        <v>587</v>
      </c>
      <c r="D696" t="str">
        <f>CONCATENATE("0070014826","")</f>
        <v>0070014826</v>
      </c>
      <c r="E696" t="str">
        <f>CONCATENATE("0031143000120       ","")</f>
        <v>0031143000120       </v>
      </c>
      <c r="F696" t="str">
        <f>CONCATENATE("606749600","")</f>
        <v>606749600</v>
      </c>
      <c r="G696" t="s">
        <v>1360</v>
      </c>
      <c r="H696" t="s">
        <v>1363</v>
      </c>
      <c r="I696" t="s">
        <v>1364</v>
      </c>
      <c r="J696" t="str">
        <f t="shared" si="86"/>
        <v>080306</v>
      </c>
      <c r="K696" t="s">
        <v>22</v>
      </c>
      <c r="L696" t="s">
        <v>23</v>
      </c>
      <c r="M696" t="str">
        <f t="shared" si="85"/>
        <v>1</v>
      </c>
      <c r="O696" t="str">
        <f t="shared" si="87"/>
        <v>1 </v>
      </c>
      <c r="P696">
        <v>15.25</v>
      </c>
      <c r="Q696" t="s">
        <v>24</v>
      </c>
    </row>
    <row r="697" spans="1:17" ht="15">
      <c r="A697" t="s">
        <v>17</v>
      </c>
      <c r="B697" s="1">
        <v>43152</v>
      </c>
      <c r="C697" t="s">
        <v>587</v>
      </c>
      <c r="D697" t="str">
        <f>CONCATENATE("0070022417","")</f>
        <v>0070022417</v>
      </c>
      <c r="E697" t="str">
        <f>CONCATENATE("0031143000145       ","")</f>
        <v>0031143000145       </v>
      </c>
      <c r="F697" t="str">
        <f>CONCATENATE("605748325","")</f>
        <v>605748325</v>
      </c>
      <c r="G697" t="s">
        <v>1360</v>
      </c>
      <c r="H697" t="s">
        <v>1365</v>
      </c>
      <c r="I697" t="s">
        <v>1366</v>
      </c>
      <c r="J697" t="str">
        <f t="shared" si="86"/>
        <v>080306</v>
      </c>
      <c r="K697" t="s">
        <v>22</v>
      </c>
      <c r="L697" t="s">
        <v>23</v>
      </c>
      <c r="M697" t="str">
        <f t="shared" si="85"/>
        <v>1</v>
      </c>
      <c r="O697" t="str">
        <f t="shared" si="87"/>
        <v>1 </v>
      </c>
      <c r="P697">
        <v>18.1</v>
      </c>
      <c r="Q697" t="s">
        <v>24</v>
      </c>
    </row>
    <row r="698" spans="1:17" ht="15">
      <c r="A698" t="s">
        <v>17</v>
      </c>
      <c r="B698" s="1">
        <v>43152</v>
      </c>
      <c r="C698" t="s">
        <v>587</v>
      </c>
      <c r="D698" t="str">
        <f>CONCATENATE("0070012285","")</f>
        <v>0070012285</v>
      </c>
      <c r="E698" t="str">
        <f>CONCATENATE("0031144000020       ","")</f>
        <v>0031144000020       </v>
      </c>
      <c r="F698" t="str">
        <f>CONCATENATE("605771986","")</f>
        <v>605771986</v>
      </c>
      <c r="G698" t="s">
        <v>1367</v>
      </c>
      <c r="H698" t="s">
        <v>1368</v>
      </c>
      <c r="I698" t="s">
        <v>1369</v>
      </c>
      <c r="J698" t="str">
        <f t="shared" si="86"/>
        <v>080306</v>
      </c>
      <c r="K698" t="s">
        <v>22</v>
      </c>
      <c r="L698" t="s">
        <v>23</v>
      </c>
      <c r="M698" t="str">
        <f t="shared" si="85"/>
        <v>1</v>
      </c>
      <c r="O698" t="str">
        <f>CONCATENATE("2 ","")</f>
        <v>2 </v>
      </c>
      <c r="P698">
        <v>19.1</v>
      </c>
      <c r="Q698" t="s">
        <v>24</v>
      </c>
    </row>
    <row r="699" spans="1:17" ht="15">
      <c r="A699" t="s">
        <v>17</v>
      </c>
      <c r="B699" s="1">
        <v>43152</v>
      </c>
      <c r="C699" t="s">
        <v>587</v>
      </c>
      <c r="D699" t="str">
        <f>CONCATENATE("0070007175","")</f>
        <v>0070007175</v>
      </c>
      <c r="E699" t="str">
        <f>CONCATENATE("0031145000275       ","")</f>
        <v>0031145000275       </v>
      </c>
      <c r="F699" t="str">
        <f>CONCATENATE("606744440","")</f>
        <v>606744440</v>
      </c>
      <c r="G699" t="s">
        <v>1370</v>
      </c>
      <c r="H699" t="s">
        <v>1371</v>
      </c>
      <c r="I699" t="s">
        <v>1372</v>
      </c>
      <c r="J699" t="str">
        <f t="shared" si="86"/>
        <v>080306</v>
      </c>
      <c r="K699" t="s">
        <v>22</v>
      </c>
      <c r="L699" t="s">
        <v>23</v>
      </c>
      <c r="M699" t="str">
        <f t="shared" si="85"/>
        <v>1</v>
      </c>
      <c r="O699" t="str">
        <f>CONCATENATE("1 ","")</f>
        <v>1 </v>
      </c>
      <c r="P699">
        <v>67</v>
      </c>
      <c r="Q699" t="s">
        <v>24</v>
      </c>
    </row>
    <row r="700" spans="1:17" ht="15">
      <c r="A700" t="s">
        <v>17</v>
      </c>
      <c r="B700" s="1">
        <v>43152</v>
      </c>
      <c r="C700" t="s">
        <v>587</v>
      </c>
      <c r="D700" t="str">
        <f>CONCATENATE("0070021288","")</f>
        <v>0070021288</v>
      </c>
      <c r="E700" t="str">
        <f>CONCATENATE("0031149000310       ","")</f>
        <v>0031149000310       </v>
      </c>
      <c r="F700" t="str">
        <f>CONCATENATE("1761200","")</f>
        <v>1761200</v>
      </c>
      <c r="G700" t="s">
        <v>1373</v>
      </c>
      <c r="H700" t="s">
        <v>1374</v>
      </c>
      <c r="I700" t="s">
        <v>1375</v>
      </c>
      <c r="J700" t="str">
        <f t="shared" si="86"/>
        <v>080306</v>
      </c>
      <c r="K700" t="s">
        <v>22</v>
      </c>
      <c r="L700" t="s">
        <v>23</v>
      </c>
      <c r="M700" t="str">
        <f t="shared" si="85"/>
        <v>1</v>
      </c>
      <c r="O700" t="str">
        <f>CONCATENATE("4 ","")</f>
        <v>4 </v>
      </c>
      <c r="P700">
        <v>71.2</v>
      </c>
      <c r="Q700" t="s">
        <v>24</v>
      </c>
    </row>
    <row r="701" spans="1:17" ht="15">
      <c r="A701" t="s">
        <v>17</v>
      </c>
      <c r="B701" s="1">
        <v>43152</v>
      </c>
      <c r="C701" t="s">
        <v>587</v>
      </c>
      <c r="D701" t="str">
        <f>CONCATENATE("0070007188","")</f>
        <v>0070007188</v>
      </c>
      <c r="E701" t="str">
        <f>CONCATENATE("0031150000070       ","")</f>
        <v>0031150000070       </v>
      </c>
      <c r="F701" t="str">
        <f>CONCATENATE("607448383","")</f>
        <v>607448383</v>
      </c>
      <c r="G701" t="s">
        <v>1324</v>
      </c>
      <c r="H701" t="s">
        <v>1376</v>
      </c>
      <c r="I701" t="s">
        <v>1377</v>
      </c>
      <c r="J701" t="str">
        <f t="shared" si="86"/>
        <v>080306</v>
      </c>
      <c r="K701" t="s">
        <v>22</v>
      </c>
      <c r="L701" t="s">
        <v>23</v>
      </c>
      <c r="M701" t="str">
        <f t="shared" si="85"/>
        <v>1</v>
      </c>
      <c r="O701" t="str">
        <f>CONCATENATE("2 ","")</f>
        <v>2 </v>
      </c>
      <c r="P701">
        <v>56.95</v>
      </c>
      <c r="Q701" t="s">
        <v>24</v>
      </c>
    </row>
    <row r="702" spans="1:17" ht="15">
      <c r="A702" t="s">
        <v>17</v>
      </c>
      <c r="B702" s="1">
        <v>43152</v>
      </c>
      <c r="C702" t="s">
        <v>587</v>
      </c>
      <c r="D702" t="str">
        <f>CONCATENATE("0070015231","")</f>
        <v>0070015231</v>
      </c>
      <c r="E702" t="str">
        <f>CONCATENATE("0031150000265       ","")</f>
        <v>0031150000265       </v>
      </c>
      <c r="F702" t="str">
        <f>CONCATENATE("606899484","")</f>
        <v>606899484</v>
      </c>
      <c r="G702" t="s">
        <v>1324</v>
      </c>
      <c r="H702" t="s">
        <v>1378</v>
      </c>
      <c r="I702" t="s">
        <v>1379</v>
      </c>
      <c r="J702" t="str">
        <f t="shared" si="86"/>
        <v>080306</v>
      </c>
      <c r="K702" t="s">
        <v>22</v>
      </c>
      <c r="L702" t="s">
        <v>23</v>
      </c>
      <c r="M702" t="str">
        <f t="shared" si="85"/>
        <v>1</v>
      </c>
      <c r="O702" t="str">
        <f>CONCATENATE("3 ","")</f>
        <v>3 </v>
      </c>
      <c r="P702">
        <v>181.1</v>
      </c>
      <c r="Q702" t="s">
        <v>24</v>
      </c>
    </row>
    <row r="703" spans="1:17" ht="15">
      <c r="A703" t="s">
        <v>17</v>
      </c>
      <c r="B703" s="1">
        <v>43152</v>
      </c>
      <c r="C703" t="s">
        <v>587</v>
      </c>
      <c r="D703" t="str">
        <f>CONCATENATE("0070007211","")</f>
        <v>0070007211</v>
      </c>
      <c r="E703" t="str">
        <f>CONCATENATE("0031150000325       ","")</f>
        <v>0031150000325       </v>
      </c>
      <c r="F703" t="str">
        <f>CONCATENATE("607448401","")</f>
        <v>607448401</v>
      </c>
      <c r="G703" t="s">
        <v>1324</v>
      </c>
      <c r="H703" t="s">
        <v>1380</v>
      </c>
      <c r="I703" t="s">
        <v>1377</v>
      </c>
      <c r="J703" t="str">
        <f t="shared" si="86"/>
        <v>080306</v>
      </c>
      <c r="K703" t="s">
        <v>22</v>
      </c>
      <c r="L703" t="s">
        <v>23</v>
      </c>
      <c r="M703" t="str">
        <f t="shared" si="85"/>
        <v>1</v>
      </c>
      <c r="O703" t="str">
        <f>CONCATENATE("1 ","")</f>
        <v>1 </v>
      </c>
      <c r="P703">
        <v>68.2</v>
      </c>
      <c r="Q703" t="s">
        <v>24</v>
      </c>
    </row>
    <row r="704" spans="1:17" ht="15">
      <c r="A704" t="s">
        <v>17</v>
      </c>
      <c r="B704" s="1">
        <v>43152</v>
      </c>
      <c r="C704" t="s">
        <v>587</v>
      </c>
      <c r="D704" t="str">
        <f>CONCATENATE("0070007191","")</f>
        <v>0070007191</v>
      </c>
      <c r="E704" t="str">
        <f>CONCATENATE("0031150000435       ","")</f>
        <v>0031150000435       </v>
      </c>
      <c r="F704" t="str">
        <f>CONCATENATE("606082534","")</f>
        <v>606082534</v>
      </c>
      <c r="G704" t="s">
        <v>1324</v>
      </c>
      <c r="H704" t="s">
        <v>1381</v>
      </c>
      <c r="I704" t="s">
        <v>1377</v>
      </c>
      <c r="J704" t="str">
        <f t="shared" si="86"/>
        <v>080306</v>
      </c>
      <c r="K704" t="s">
        <v>22</v>
      </c>
      <c r="L704" t="s">
        <v>23</v>
      </c>
      <c r="M704" t="str">
        <f t="shared" si="85"/>
        <v>1</v>
      </c>
      <c r="O704" t="str">
        <f>CONCATENATE("1 ","")</f>
        <v>1 </v>
      </c>
      <c r="P704">
        <v>313.75</v>
      </c>
      <c r="Q704" t="s">
        <v>24</v>
      </c>
    </row>
    <row r="705" spans="1:17" ht="15">
      <c r="A705" t="s">
        <v>17</v>
      </c>
      <c r="B705" s="1">
        <v>43152</v>
      </c>
      <c r="C705" t="s">
        <v>587</v>
      </c>
      <c r="D705" t="str">
        <f>CONCATENATE("0070017937","")</f>
        <v>0070017937</v>
      </c>
      <c r="E705" t="str">
        <f>CONCATENATE("0031160000085       ","")</f>
        <v>0031160000085       </v>
      </c>
      <c r="F705" t="str">
        <f>CONCATENATE("605623981","")</f>
        <v>605623981</v>
      </c>
      <c r="G705" t="s">
        <v>1370</v>
      </c>
      <c r="H705" t="s">
        <v>1382</v>
      </c>
      <c r="I705" t="s">
        <v>1383</v>
      </c>
      <c r="J705" t="str">
        <f t="shared" si="86"/>
        <v>080306</v>
      </c>
      <c r="K705" t="s">
        <v>22</v>
      </c>
      <c r="L705" t="s">
        <v>23</v>
      </c>
      <c r="M705" t="str">
        <f t="shared" si="85"/>
        <v>1</v>
      </c>
      <c r="O705" t="str">
        <f>CONCATENATE("1 ","")</f>
        <v>1 </v>
      </c>
      <c r="P705">
        <v>20</v>
      </c>
      <c r="Q705" t="s">
        <v>24</v>
      </c>
    </row>
    <row r="706" spans="1:17" ht="15">
      <c r="A706" t="s">
        <v>17</v>
      </c>
      <c r="B706" s="1">
        <v>43152</v>
      </c>
      <c r="C706" t="s">
        <v>587</v>
      </c>
      <c r="D706" t="str">
        <f>CONCATENATE("0070018317","")</f>
        <v>0070018317</v>
      </c>
      <c r="E706" t="str">
        <f>CONCATENATE("0031165000097       ","")</f>
        <v>0031165000097       </v>
      </c>
      <c r="F706" t="str">
        <f>CONCATENATE("605623446","")</f>
        <v>605623446</v>
      </c>
      <c r="G706" t="s">
        <v>1384</v>
      </c>
      <c r="H706" t="s">
        <v>1385</v>
      </c>
      <c r="I706" t="s">
        <v>1386</v>
      </c>
      <c r="J706" t="str">
        <f t="shared" si="86"/>
        <v>080306</v>
      </c>
      <c r="K706" t="s">
        <v>22</v>
      </c>
      <c r="L706" t="s">
        <v>23</v>
      </c>
      <c r="M706" t="str">
        <f t="shared" si="85"/>
        <v>1</v>
      </c>
      <c r="O706" t="str">
        <f>CONCATENATE("2 ","")</f>
        <v>2 </v>
      </c>
      <c r="P706">
        <v>28.9</v>
      </c>
      <c r="Q706" t="s">
        <v>24</v>
      </c>
    </row>
    <row r="707" spans="1:17" ht="15">
      <c r="A707" t="s">
        <v>17</v>
      </c>
      <c r="B707" s="1">
        <v>43152</v>
      </c>
      <c r="C707" t="s">
        <v>587</v>
      </c>
      <c r="D707" t="str">
        <f>CONCATENATE("0070012732","")</f>
        <v>0070012732</v>
      </c>
      <c r="E707" t="str">
        <f>CONCATENATE("0031168000070       ","")</f>
        <v>0031168000070       </v>
      </c>
      <c r="F707" t="str">
        <f>CONCATENATE("606907017","")</f>
        <v>606907017</v>
      </c>
      <c r="G707" t="s">
        <v>1387</v>
      </c>
      <c r="H707" t="s">
        <v>1388</v>
      </c>
      <c r="I707" t="s">
        <v>1389</v>
      </c>
      <c r="J707" t="str">
        <f t="shared" si="86"/>
        <v>080306</v>
      </c>
      <c r="K707" t="s">
        <v>22</v>
      </c>
      <c r="L707" t="s">
        <v>23</v>
      </c>
      <c r="M707" t="str">
        <f t="shared" si="85"/>
        <v>1</v>
      </c>
      <c r="O707" t="str">
        <f>CONCATENATE("1 ","")</f>
        <v>1 </v>
      </c>
      <c r="P707">
        <v>99</v>
      </c>
      <c r="Q707" t="s">
        <v>24</v>
      </c>
    </row>
    <row r="708" spans="1:17" ht="15">
      <c r="A708" t="s">
        <v>17</v>
      </c>
      <c r="B708" s="1">
        <v>43152</v>
      </c>
      <c r="C708" t="s">
        <v>587</v>
      </c>
      <c r="D708" t="str">
        <f>CONCATENATE("0070023563","")</f>
        <v>0070023563</v>
      </c>
      <c r="E708" t="str">
        <f>CONCATENATE("0031168000072       ","")</f>
        <v>0031168000072       </v>
      </c>
      <c r="F708" t="str">
        <f>CONCATENATE("606809919","")</f>
        <v>606809919</v>
      </c>
      <c r="G708" t="s">
        <v>1387</v>
      </c>
      <c r="H708" t="s">
        <v>1390</v>
      </c>
      <c r="I708" t="s">
        <v>1391</v>
      </c>
      <c r="J708" t="str">
        <f t="shared" si="86"/>
        <v>080306</v>
      </c>
      <c r="K708" t="s">
        <v>22</v>
      </c>
      <c r="L708" t="s">
        <v>23</v>
      </c>
      <c r="M708" t="str">
        <f t="shared" si="85"/>
        <v>1</v>
      </c>
      <c r="O708" t="str">
        <f>CONCATENATE("3 ","")</f>
        <v>3 </v>
      </c>
      <c r="P708">
        <v>175.8</v>
      </c>
      <c r="Q708" t="s">
        <v>24</v>
      </c>
    </row>
    <row r="709" spans="1:17" ht="15">
      <c r="A709" t="s">
        <v>17</v>
      </c>
      <c r="B709" s="1">
        <v>43152</v>
      </c>
      <c r="C709" t="s">
        <v>1392</v>
      </c>
      <c r="D709" t="str">
        <f>CONCATENATE("0070007245","")</f>
        <v>0070007245</v>
      </c>
      <c r="E709" t="str">
        <f>CONCATENATE("0031170000085       ","")</f>
        <v>0031170000085       </v>
      </c>
      <c r="F709" t="str">
        <f>CONCATENATE("1801169","")</f>
        <v>1801169</v>
      </c>
      <c r="G709" t="s">
        <v>1393</v>
      </c>
      <c r="H709" t="s">
        <v>1394</v>
      </c>
      <c r="I709" t="s">
        <v>1392</v>
      </c>
      <c r="J709" t="str">
        <f aca="true" t="shared" si="88" ref="J709:J743">CONCATENATE("080307","")</f>
        <v>080307</v>
      </c>
      <c r="K709" t="s">
        <v>22</v>
      </c>
      <c r="L709" t="s">
        <v>23</v>
      </c>
      <c r="M709" t="str">
        <f t="shared" si="85"/>
        <v>1</v>
      </c>
      <c r="O709" t="str">
        <f>CONCATENATE("4 ","")</f>
        <v>4 </v>
      </c>
      <c r="P709">
        <v>78.95</v>
      </c>
      <c r="Q709" t="s">
        <v>24</v>
      </c>
    </row>
    <row r="710" spans="1:17" ht="15">
      <c r="A710" t="s">
        <v>17</v>
      </c>
      <c r="B710" s="1">
        <v>43152</v>
      </c>
      <c r="C710" t="s">
        <v>1392</v>
      </c>
      <c r="D710" t="str">
        <f>CONCATENATE("0070018593","")</f>
        <v>0070018593</v>
      </c>
      <c r="E710" t="str">
        <f>CONCATENATE("0031170000093       ","")</f>
        <v>0031170000093       </v>
      </c>
      <c r="F710" t="str">
        <f>CONCATENATE("607429592","")</f>
        <v>607429592</v>
      </c>
      <c r="G710" t="s">
        <v>1393</v>
      </c>
      <c r="H710" t="s">
        <v>1395</v>
      </c>
      <c r="I710" t="s">
        <v>1396</v>
      </c>
      <c r="J710" t="str">
        <f t="shared" si="88"/>
        <v>080307</v>
      </c>
      <c r="K710" t="s">
        <v>22</v>
      </c>
      <c r="L710" t="s">
        <v>23</v>
      </c>
      <c r="M710" t="str">
        <f>CONCATENATE("4","")</f>
        <v>4</v>
      </c>
      <c r="O710" t="str">
        <f aca="true" t="shared" si="89" ref="O710:O719">CONCATENATE("1 ","")</f>
        <v>1 </v>
      </c>
      <c r="P710">
        <v>489.6</v>
      </c>
      <c r="Q710" t="s">
        <v>51</v>
      </c>
    </row>
    <row r="711" spans="1:17" ht="15">
      <c r="A711" t="s">
        <v>17</v>
      </c>
      <c r="B711" s="1">
        <v>43152</v>
      </c>
      <c r="C711" t="s">
        <v>1392</v>
      </c>
      <c r="D711" t="str">
        <f>CONCATENATE("0070012727","")</f>
        <v>0070012727</v>
      </c>
      <c r="E711" t="str">
        <f>CONCATENATE("0031170000135       ","")</f>
        <v>0031170000135       </v>
      </c>
      <c r="F711" t="str">
        <f>CONCATENATE("605747245","")</f>
        <v>605747245</v>
      </c>
      <c r="G711" t="s">
        <v>1393</v>
      </c>
      <c r="H711" t="s">
        <v>1397</v>
      </c>
      <c r="I711" t="s">
        <v>1398</v>
      </c>
      <c r="J711" t="str">
        <f t="shared" si="88"/>
        <v>080307</v>
      </c>
      <c r="K711" t="s">
        <v>22</v>
      </c>
      <c r="L711" t="s">
        <v>23</v>
      </c>
      <c r="M711" t="str">
        <f>CONCATENATE("1","")</f>
        <v>1</v>
      </c>
      <c r="O711" t="str">
        <f t="shared" si="89"/>
        <v>1 </v>
      </c>
      <c r="P711">
        <v>21.9</v>
      </c>
      <c r="Q711" t="s">
        <v>24</v>
      </c>
    </row>
    <row r="712" spans="1:17" ht="15">
      <c r="A712" t="s">
        <v>17</v>
      </c>
      <c r="B712" s="1">
        <v>43152</v>
      </c>
      <c r="C712" t="s">
        <v>1392</v>
      </c>
      <c r="D712" t="str">
        <f>CONCATENATE("0070007257","")</f>
        <v>0070007257</v>
      </c>
      <c r="E712" t="str">
        <f>CONCATENATE("0031170000190       ","")</f>
        <v>0031170000190       </v>
      </c>
      <c r="F712" t="str">
        <f>CONCATENATE("606669733","")</f>
        <v>606669733</v>
      </c>
      <c r="G712" t="s">
        <v>1393</v>
      </c>
      <c r="H712" t="s">
        <v>1399</v>
      </c>
      <c r="I712" t="s">
        <v>1392</v>
      </c>
      <c r="J712" t="str">
        <f t="shared" si="88"/>
        <v>080307</v>
      </c>
      <c r="K712" t="s">
        <v>22</v>
      </c>
      <c r="L712" t="s">
        <v>23</v>
      </c>
      <c r="M712" t="str">
        <f>CONCATENATE("1","")</f>
        <v>1</v>
      </c>
      <c r="O712" t="str">
        <f t="shared" si="89"/>
        <v>1 </v>
      </c>
      <c r="P712">
        <v>173.4</v>
      </c>
      <c r="Q712" t="s">
        <v>24</v>
      </c>
    </row>
    <row r="713" spans="1:17" ht="15">
      <c r="A713" t="s">
        <v>17</v>
      </c>
      <c r="B713" s="1">
        <v>43152</v>
      </c>
      <c r="C713" t="s">
        <v>1392</v>
      </c>
      <c r="D713" t="str">
        <f>CONCATENATE("0070007258","")</f>
        <v>0070007258</v>
      </c>
      <c r="E713" t="str">
        <f>CONCATENATE("0031170000200       ","")</f>
        <v>0031170000200       </v>
      </c>
      <c r="F713" t="str">
        <f>CONCATENATE("606754696","")</f>
        <v>606754696</v>
      </c>
      <c r="G713" t="s">
        <v>1393</v>
      </c>
      <c r="H713" t="s">
        <v>1400</v>
      </c>
      <c r="I713" t="s">
        <v>1392</v>
      </c>
      <c r="J713" t="str">
        <f t="shared" si="88"/>
        <v>080307</v>
      </c>
      <c r="K713" t="s">
        <v>22</v>
      </c>
      <c r="L713" t="s">
        <v>23</v>
      </c>
      <c r="M713" t="str">
        <f>CONCATENATE("1","")</f>
        <v>1</v>
      </c>
      <c r="O713" t="str">
        <f t="shared" si="89"/>
        <v>1 </v>
      </c>
      <c r="P713">
        <v>194.65</v>
      </c>
      <c r="Q713" t="s">
        <v>24</v>
      </c>
    </row>
    <row r="714" spans="1:17" ht="15">
      <c r="A714" t="s">
        <v>17</v>
      </c>
      <c r="B714" s="1">
        <v>43152</v>
      </c>
      <c r="C714" t="s">
        <v>1392</v>
      </c>
      <c r="D714" t="str">
        <f>CONCATENATE("0070007259","")</f>
        <v>0070007259</v>
      </c>
      <c r="E714" t="str">
        <f>CONCATENATE("0031170000210       ","")</f>
        <v>0031170000210       </v>
      </c>
      <c r="F714" t="str">
        <f>CONCATENATE("606671629","")</f>
        <v>606671629</v>
      </c>
      <c r="G714" t="s">
        <v>1393</v>
      </c>
      <c r="H714" t="s">
        <v>1401</v>
      </c>
      <c r="I714" t="s">
        <v>1392</v>
      </c>
      <c r="J714" t="str">
        <f t="shared" si="88"/>
        <v>080307</v>
      </c>
      <c r="K714" t="s">
        <v>22</v>
      </c>
      <c r="L714" t="s">
        <v>23</v>
      </c>
      <c r="M714" t="str">
        <f>CONCATENATE("1","")</f>
        <v>1</v>
      </c>
      <c r="O714" t="str">
        <f t="shared" si="89"/>
        <v>1 </v>
      </c>
      <c r="P714">
        <v>214.75</v>
      </c>
      <c r="Q714" t="s">
        <v>24</v>
      </c>
    </row>
    <row r="715" spans="1:17" ht="15">
      <c r="A715" t="s">
        <v>17</v>
      </c>
      <c r="B715" s="1">
        <v>43152</v>
      </c>
      <c r="C715" t="s">
        <v>1392</v>
      </c>
      <c r="D715" t="str">
        <f>CONCATENATE("0070021077","")</f>
        <v>0070021077</v>
      </c>
      <c r="E715" t="str">
        <f>CONCATENATE("0031170000215       ","")</f>
        <v>0031170000215       </v>
      </c>
      <c r="F715" t="str">
        <f>CONCATENATE("1680336","")</f>
        <v>1680336</v>
      </c>
      <c r="G715" t="s">
        <v>1393</v>
      </c>
      <c r="H715" t="s">
        <v>1402</v>
      </c>
      <c r="I715" t="s">
        <v>1403</v>
      </c>
      <c r="J715" t="str">
        <f t="shared" si="88"/>
        <v>080307</v>
      </c>
      <c r="K715" t="s">
        <v>22</v>
      </c>
      <c r="L715" t="s">
        <v>23</v>
      </c>
      <c r="M715" t="str">
        <f>CONCATENATE("3","")</f>
        <v>3</v>
      </c>
      <c r="O715" t="str">
        <f t="shared" si="89"/>
        <v>1 </v>
      </c>
      <c r="P715">
        <v>65.85</v>
      </c>
      <c r="Q715" t="s">
        <v>51</v>
      </c>
    </row>
    <row r="716" spans="1:17" ht="15">
      <c r="A716" t="s">
        <v>17</v>
      </c>
      <c r="B716" s="1">
        <v>43152</v>
      </c>
      <c r="C716" t="s">
        <v>1392</v>
      </c>
      <c r="D716" t="str">
        <f>CONCATENATE("0070007265","")</f>
        <v>0070007265</v>
      </c>
      <c r="E716" t="str">
        <f>CONCATENATE("0031170000260       ","")</f>
        <v>0031170000260       </v>
      </c>
      <c r="F716" t="str">
        <f>CONCATENATE("606745505","")</f>
        <v>606745505</v>
      </c>
      <c r="G716" t="s">
        <v>1393</v>
      </c>
      <c r="H716" t="s">
        <v>1404</v>
      </c>
      <c r="I716" t="s">
        <v>1392</v>
      </c>
      <c r="J716" t="str">
        <f t="shared" si="88"/>
        <v>080307</v>
      </c>
      <c r="K716" t="s">
        <v>22</v>
      </c>
      <c r="L716" t="s">
        <v>23</v>
      </c>
      <c r="M716" t="str">
        <f aca="true" t="shared" si="90" ref="M716:M747">CONCATENATE("1","")</f>
        <v>1</v>
      </c>
      <c r="O716" t="str">
        <f t="shared" si="89"/>
        <v>1 </v>
      </c>
      <c r="P716">
        <v>26.8</v>
      </c>
      <c r="Q716" t="s">
        <v>24</v>
      </c>
    </row>
    <row r="717" spans="1:17" ht="15">
      <c r="A717" t="s">
        <v>17</v>
      </c>
      <c r="B717" s="1">
        <v>43152</v>
      </c>
      <c r="C717" t="s">
        <v>1392</v>
      </c>
      <c r="D717" t="str">
        <f>CONCATENATE("0070013695","")</f>
        <v>0070013695</v>
      </c>
      <c r="E717" t="str">
        <f>CONCATENATE("0031170000275       ","")</f>
        <v>0031170000275       </v>
      </c>
      <c r="F717" t="str">
        <f>CONCATENATE("607446141","")</f>
        <v>607446141</v>
      </c>
      <c r="G717" t="s">
        <v>1393</v>
      </c>
      <c r="H717" t="s">
        <v>1405</v>
      </c>
      <c r="I717" t="s">
        <v>1406</v>
      </c>
      <c r="J717" t="str">
        <f t="shared" si="88"/>
        <v>080307</v>
      </c>
      <c r="K717" t="s">
        <v>22</v>
      </c>
      <c r="L717" t="s">
        <v>23</v>
      </c>
      <c r="M717" t="str">
        <f t="shared" si="90"/>
        <v>1</v>
      </c>
      <c r="O717" t="str">
        <f t="shared" si="89"/>
        <v>1 </v>
      </c>
      <c r="P717">
        <v>51.8</v>
      </c>
      <c r="Q717" t="s">
        <v>24</v>
      </c>
    </row>
    <row r="718" spans="1:17" ht="15">
      <c r="A718" t="s">
        <v>17</v>
      </c>
      <c r="B718" s="1">
        <v>43152</v>
      </c>
      <c r="C718" t="s">
        <v>1392</v>
      </c>
      <c r="D718" t="str">
        <f>CONCATENATE("0070007274","")</f>
        <v>0070007274</v>
      </c>
      <c r="E718" t="str">
        <f>CONCATENATE("0031170000340       ","")</f>
        <v>0031170000340       </v>
      </c>
      <c r="F718" t="str">
        <f>CONCATENATE("606669715","")</f>
        <v>606669715</v>
      </c>
      <c r="G718" t="s">
        <v>1393</v>
      </c>
      <c r="H718" t="s">
        <v>1407</v>
      </c>
      <c r="I718" t="s">
        <v>1392</v>
      </c>
      <c r="J718" t="str">
        <f t="shared" si="88"/>
        <v>080307</v>
      </c>
      <c r="K718" t="s">
        <v>22</v>
      </c>
      <c r="L718" t="s">
        <v>23</v>
      </c>
      <c r="M718" t="str">
        <f t="shared" si="90"/>
        <v>1</v>
      </c>
      <c r="O718" t="str">
        <f t="shared" si="89"/>
        <v>1 </v>
      </c>
      <c r="P718">
        <v>6.15</v>
      </c>
      <c r="Q718" t="s">
        <v>24</v>
      </c>
    </row>
    <row r="719" spans="1:17" ht="15">
      <c r="A719" t="s">
        <v>17</v>
      </c>
      <c r="B719" s="1">
        <v>43152</v>
      </c>
      <c r="C719" t="s">
        <v>1392</v>
      </c>
      <c r="D719" t="str">
        <f>CONCATENATE("0070011005","")</f>
        <v>0070011005</v>
      </c>
      <c r="E719" t="str">
        <f>CONCATENATE("0031170000437       ","")</f>
        <v>0031170000437       </v>
      </c>
      <c r="F719" t="str">
        <f>CONCATENATE("605629080","")</f>
        <v>605629080</v>
      </c>
      <c r="G719" t="s">
        <v>1393</v>
      </c>
      <c r="H719" t="s">
        <v>1408</v>
      </c>
      <c r="I719" t="s">
        <v>1409</v>
      </c>
      <c r="J719" t="str">
        <f t="shared" si="88"/>
        <v>080307</v>
      </c>
      <c r="K719" t="s">
        <v>22</v>
      </c>
      <c r="L719" t="s">
        <v>23</v>
      </c>
      <c r="M719" t="str">
        <f t="shared" si="90"/>
        <v>1</v>
      </c>
      <c r="O719" t="str">
        <f t="shared" si="89"/>
        <v>1 </v>
      </c>
      <c r="P719">
        <v>11.1</v>
      </c>
      <c r="Q719" t="s">
        <v>24</v>
      </c>
    </row>
    <row r="720" spans="1:17" ht="15">
      <c r="A720" t="s">
        <v>17</v>
      </c>
      <c r="B720" s="1">
        <v>43152</v>
      </c>
      <c r="C720" t="s">
        <v>1392</v>
      </c>
      <c r="D720" t="str">
        <f>CONCATENATE("0070007306","")</f>
        <v>0070007306</v>
      </c>
      <c r="E720" t="str">
        <f>CONCATENATE("0031170000600       ","")</f>
        <v>0031170000600       </v>
      </c>
      <c r="F720" t="str">
        <f>CONCATENATE("607647740","")</f>
        <v>607647740</v>
      </c>
      <c r="G720" t="s">
        <v>1410</v>
      </c>
      <c r="H720" t="s">
        <v>1411</v>
      </c>
      <c r="I720" t="s">
        <v>1392</v>
      </c>
      <c r="J720" t="str">
        <f t="shared" si="88"/>
        <v>080307</v>
      </c>
      <c r="K720" t="s">
        <v>22</v>
      </c>
      <c r="L720" t="s">
        <v>23</v>
      </c>
      <c r="M720" t="str">
        <f t="shared" si="90"/>
        <v>1</v>
      </c>
      <c r="O720" t="str">
        <f>CONCATENATE("2 ","")</f>
        <v>2 </v>
      </c>
      <c r="P720">
        <v>335.1</v>
      </c>
      <c r="Q720" t="s">
        <v>24</v>
      </c>
    </row>
    <row r="721" spans="1:17" ht="15">
      <c r="A721" t="s">
        <v>17</v>
      </c>
      <c r="B721" s="1">
        <v>43152</v>
      </c>
      <c r="C721" t="s">
        <v>1392</v>
      </c>
      <c r="D721" t="str">
        <f>CONCATENATE("0070007330","")</f>
        <v>0070007330</v>
      </c>
      <c r="E721" t="str">
        <f>CONCATENATE("0031170000830       ","")</f>
        <v>0031170000830       </v>
      </c>
      <c r="F721" t="str">
        <f>CONCATENATE("605936436","")</f>
        <v>605936436</v>
      </c>
      <c r="G721" t="s">
        <v>1410</v>
      </c>
      <c r="H721" t="s">
        <v>1412</v>
      </c>
      <c r="I721" t="s">
        <v>1392</v>
      </c>
      <c r="J721" t="str">
        <f t="shared" si="88"/>
        <v>080307</v>
      </c>
      <c r="K721" t="s">
        <v>22</v>
      </c>
      <c r="L721" t="s">
        <v>23</v>
      </c>
      <c r="M721" t="str">
        <f t="shared" si="90"/>
        <v>1</v>
      </c>
      <c r="O721" t="str">
        <f>CONCATENATE("1 ","")</f>
        <v>1 </v>
      </c>
      <c r="P721">
        <v>532.2</v>
      </c>
      <c r="Q721" t="s">
        <v>24</v>
      </c>
    </row>
    <row r="722" spans="1:17" ht="15">
      <c r="A722" t="s">
        <v>17</v>
      </c>
      <c r="B722" s="1">
        <v>43152</v>
      </c>
      <c r="C722" t="s">
        <v>1392</v>
      </c>
      <c r="D722" t="str">
        <f>CONCATENATE("0070007334","")</f>
        <v>0070007334</v>
      </c>
      <c r="E722" t="str">
        <f>CONCATENATE("0031170000870       ","")</f>
        <v>0031170000870       </v>
      </c>
      <c r="F722" t="str">
        <f>CONCATENATE("605772454","")</f>
        <v>605772454</v>
      </c>
      <c r="G722" t="s">
        <v>1410</v>
      </c>
      <c r="H722" t="s">
        <v>1413</v>
      </c>
      <c r="I722" t="s">
        <v>1392</v>
      </c>
      <c r="J722" t="str">
        <f t="shared" si="88"/>
        <v>080307</v>
      </c>
      <c r="K722" t="s">
        <v>22</v>
      </c>
      <c r="L722" t="s">
        <v>23</v>
      </c>
      <c r="M722" t="str">
        <f t="shared" si="90"/>
        <v>1</v>
      </c>
      <c r="O722" t="str">
        <f>CONCATENATE("1 ","")</f>
        <v>1 </v>
      </c>
      <c r="P722">
        <v>10.6</v>
      </c>
      <c r="Q722" t="s">
        <v>24</v>
      </c>
    </row>
    <row r="723" spans="1:17" ht="15">
      <c r="A723" t="s">
        <v>17</v>
      </c>
      <c r="B723" s="1">
        <v>43152</v>
      </c>
      <c r="C723" t="s">
        <v>1392</v>
      </c>
      <c r="D723" t="str">
        <f>CONCATENATE("0070007352","")</f>
        <v>0070007352</v>
      </c>
      <c r="E723" t="str">
        <f>CONCATENATE("0031170001020       ","")</f>
        <v>0031170001020       </v>
      </c>
      <c r="F723" t="str">
        <f>CONCATENATE("1159367","")</f>
        <v>1159367</v>
      </c>
      <c r="G723" t="s">
        <v>1410</v>
      </c>
      <c r="H723" t="s">
        <v>1414</v>
      </c>
      <c r="I723" t="s">
        <v>1392</v>
      </c>
      <c r="J723" t="str">
        <f t="shared" si="88"/>
        <v>080307</v>
      </c>
      <c r="K723" t="s">
        <v>22</v>
      </c>
      <c r="L723" t="s">
        <v>23</v>
      </c>
      <c r="M723" t="str">
        <f t="shared" si="90"/>
        <v>1</v>
      </c>
      <c r="O723" t="str">
        <f>CONCATENATE("2 ","")</f>
        <v>2 </v>
      </c>
      <c r="P723">
        <v>34.55</v>
      </c>
      <c r="Q723" t="s">
        <v>24</v>
      </c>
    </row>
    <row r="724" spans="1:17" ht="15">
      <c r="A724" t="s">
        <v>17</v>
      </c>
      <c r="B724" s="1">
        <v>43152</v>
      </c>
      <c r="C724" t="s">
        <v>1392</v>
      </c>
      <c r="D724" t="str">
        <f>CONCATENATE("0070007356","")</f>
        <v>0070007356</v>
      </c>
      <c r="E724" t="str">
        <f>CONCATENATE("0031170001050       ","")</f>
        <v>0031170001050       </v>
      </c>
      <c r="F724" t="str">
        <f>CONCATENATE("1805730","")</f>
        <v>1805730</v>
      </c>
      <c r="G724" t="s">
        <v>1410</v>
      </c>
      <c r="H724" t="s">
        <v>1415</v>
      </c>
      <c r="I724" t="s">
        <v>1392</v>
      </c>
      <c r="J724" t="str">
        <f t="shared" si="88"/>
        <v>080307</v>
      </c>
      <c r="K724" t="s">
        <v>22</v>
      </c>
      <c r="L724" t="s">
        <v>23</v>
      </c>
      <c r="M724" t="str">
        <f t="shared" si="90"/>
        <v>1</v>
      </c>
      <c r="O724" t="str">
        <f>CONCATENATE("1 ","")</f>
        <v>1 </v>
      </c>
      <c r="P724">
        <v>15.95</v>
      </c>
      <c r="Q724" t="s">
        <v>24</v>
      </c>
    </row>
    <row r="725" spans="1:17" ht="15">
      <c r="A725" t="s">
        <v>17</v>
      </c>
      <c r="B725" s="1">
        <v>43152</v>
      </c>
      <c r="C725" t="s">
        <v>1392</v>
      </c>
      <c r="D725" t="str">
        <f>CONCATENATE("0070007387","")</f>
        <v>0070007387</v>
      </c>
      <c r="E725" t="str">
        <f>CONCATENATE("0031170001320       ","")</f>
        <v>0031170001320       </v>
      </c>
      <c r="F725" t="str">
        <f>CONCATENATE("606931003","")</f>
        <v>606931003</v>
      </c>
      <c r="G725" t="s">
        <v>1410</v>
      </c>
      <c r="H725" t="s">
        <v>1416</v>
      </c>
      <c r="I725" t="s">
        <v>1392</v>
      </c>
      <c r="J725" t="str">
        <f t="shared" si="88"/>
        <v>080307</v>
      </c>
      <c r="K725" t="s">
        <v>22</v>
      </c>
      <c r="L725" t="s">
        <v>23</v>
      </c>
      <c r="M725" t="str">
        <f t="shared" si="90"/>
        <v>1</v>
      </c>
      <c r="O725" t="str">
        <f>CONCATENATE("1 ","")</f>
        <v>1 </v>
      </c>
      <c r="P725">
        <v>52.1</v>
      </c>
      <c r="Q725" t="s">
        <v>24</v>
      </c>
    </row>
    <row r="726" spans="1:17" ht="15">
      <c r="A726" t="s">
        <v>17</v>
      </c>
      <c r="B726" s="1">
        <v>43152</v>
      </c>
      <c r="C726" t="s">
        <v>1392</v>
      </c>
      <c r="D726" t="str">
        <f>CONCATENATE("0070019769","")</f>
        <v>0070019769</v>
      </c>
      <c r="E726" t="str">
        <f>CONCATENATE("0031170001502       ","")</f>
        <v>0031170001502       </v>
      </c>
      <c r="F726" t="str">
        <f>CONCATENATE("605933929","")</f>
        <v>605933929</v>
      </c>
      <c r="G726" t="s">
        <v>1393</v>
      </c>
      <c r="H726" t="s">
        <v>1417</v>
      </c>
      <c r="I726" t="s">
        <v>1418</v>
      </c>
      <c r="J726" t="str">
        <f t="shared" si="88"/>
        <v>080307</v>
      </c>
      <c r="K726" t="s">
        <v>22</v>
      </c>
      <c r="L726" t="s">
        <v>23</v>
      </c>
      <c r="M726" t="str">
        <f t="shared" si="90"/>
        <v>1</v>
      </c>
      <c r="O726" t="str">
        <f>CONCATENATE("2 ","")</f>
        <v>2 </v>
      </c>
      <c r="P726">
        <v>20.15</v>
      </c>
      <c r="Q726" t="s">
        <v>24</v>
      </c>
    </row>
    <row r="727" spans="1:17" ht="15">
      <c r="A727" t="s">
        <v>17</v>
      </c>
      <c r="B727" s="1">
        <v>43152</v>
      </c>
      <c r="C727" t="s">
        <v>1392</v>
      </c>
      <c r="D727" t="str">
        <f>CONCATENATE("0070015195","")</f>
        <v>0070015195</v>
      </c>
      <c r="E727" t="str">
        <f>CONCATENATE("0031170001532       ","")</f>
        <v>0031170001532       </v>
      </c>
      <c r="F727" t="str">
        <f>CONCATENATE("606671633","")</f>
        <v>606671633</v>
      </c>
      <c r="G727" t="s">
        <v>1393</v>
      </c>
      <c r="H727" t="s">
        <v>1419</v>
      </c>
      <c r="I727" t="s">
        <v>1420</v>
      </c>
      <c r="J727" t="str">
        <f t="shared" si="88"/>
        <v>080307</v>
      </c>
      <c r="K727" t="s">
        <v>22</v>
      </c>
      <c r="L727" t="s">
        <v>23</v>
      </c>
      <c r="M727" t="str">
        <f t="shared" si="90"/>
        <v>1</v>
      </c>
      <c r="O727" t="str">
        <f aca="true" t="shared" si="91" ref="O727:O736">CONCATENATE("1 ","")</f>
        <v>1 </v>
      </c>
      <c r="P727">
        <v>10.15</v>
      </c>
      <c r="Q727" t="s">
        <v>24</v>
      </c>
    </row>
    <row r="728" spans="1:17" ht="15">
      <c r="A728" t="s">
        <v>17</v>
      </c>
      <c r="B728" s="1">
        <v>43152</v>
      </c>
      <c r="C728" t="s">
        <v>1392</v>
      </c>
      <c r="D728" t="str">
        <f>CONCATENATE("0070013366","")</f>
        <v>0070013366</v>
      </c>
      <c r="E728" t="str">
        <f>CONCATENATE("0031170001654       ","")</f>
        <v>0031170001654       </v>
      </c>
      <c r="F728" t="str">
        <f>CONCATENATE("606930997","")</f>
        <v>606930997</v>
      </c>
      <c r="G728" t="s">
        <v>1410</v>
      </c>
      <c r="H728" t="s">
        <v>1421</v>
      </c>
      <c r="I728" t="s">
        <v>1422</v>
      </c>
      <c r="J728" t="str">
        <f t="shared" si="88"/>
        <v>080307</v>
      </c>
      <c r="K728" t="s">
        <v>22</v>
      </c>
      <c r="L728" t="s">
        <v>23</v>
      </c>
      <c r="M728" t="str">
        <f t="shared" si="90"/>
        <v>1</v>
      </c>
      <c r="O728" t="str">
        <f t="shared" si="91"/>
        <v>1 </v>
      </c>
      <c r="P728">
        <v>11.8</v>
      </c>
      <c r="Q728" t="s">
        <v>24</v>
      </c>
    </row>
    <row r="729" spans="1:17" ht="15">
      <c r="A729" t="s">
        <v>17</v>
      </c>
      <c r="B729" s="1">
        <v>43152</v>
      </c>
      <c r="C729" t="s">
        <v>1392</v>
      </c>
      <c r="D729" t="str">
        <f>CONCATENATE("0070014406","")</f>
        <v>0070014406</v>
      </c>
      <c r="E729" t="str">
        <f>CONCATENATE("0031173000130       ","")</f>
        <v>0031173000130       </v>
      </c>
      <c r="F729" t="str">
        <f>CONCATENATE("606669721","")</f>
        <v>606669721</v>
      </c>
      <c r="G729" t="s">
        <v>1423</v>
      </c>
      <c r="H729" t="s">
        <v>1424</v>
      </c>
      <c r="I729" t="s">
        <v>1392</v>
      </c>
      <c r="J729" t="str">
        <f t="shared" si="88"/>
        <v>080307</v>
      </c>
      <c r="K729" t="s">
        <v>22</v>
      </c>
      <c r="L729" t="s">
        <v>23</v>
      </c>
      <c r="M729" t="str">
        <f t="shared" si="90"/>
        <v>1</v>
      </c>
      <c r="O729" t="str">
        <f t="shared" si="91"/>
        <v>1 </v>
      </c>
      <c r="P729">
        <v>32.25</v>
      </c>
      <c r="Q729" t="s">
        <v>24</v>
      </c>
    </row>
    <row r="730" spans="1:17" ht="15">
      <c r="A730" t="s">
        <v>17</v>
      </c>
      <c r="B730" s="1">
        <v>43152</v>
      </c>
      <c r="C730" t="s">
        <v>1392</v>
      </c>
      <c r="D730" t="str">
        <f>CONCATENATE("0070017406","")</f>
        <v>0070017406</v>
      </c>
      <c r="E730" t="str">
        <f>CONCATENATE("0031174000225       ","")</f>
        <v>0031174000225       </v>
      </c>
      <c r="F730" t="str">
        <f>CONCATENATE("790122","")</f>
        <v>790122</v>
      </c>
      <c r="G730" t="s">
        <v>1423</v>
      </c>
      <c r="H730" t="s">
        <v>1425</v>
      </c>
      <c r="I730" t="s">
        <v>1426</v>
      </c>
      <c r="J730" t="str">
        <f t="shared" si="88"/>
        <v>080307</v>
      </c>
      <c r="K730" t="s">
        <v>22</v>
      </c>
      <c r="L730" t="s">
        <v>23</v>
      </c>
      <c r="M730" t="str">
        <f t="shared" si="90"/>
        <v>1</v>
      </c>
      <c r="O730" t="str">
        <f t="shared" si="91"/>
        <v>1 </v>
      </c>
      <c r="P730">
        <v>27.25</v>
      </c>
      <c r="Q730" t="s">
        <v>24</v>
      </c>
    </row>
    <row r="731" spans="1:17" ht="15">
      <c r="A731" t="s">
        <v>17</v>
      </c>
      <c r="B731" s="1">
        <v>43152</v>
      </c>
      <c r="C731" t="s">
        <v>1392</v>
      </c>
      <c r="D731" t="str">
        <f>CONCATENATE("0070009862","")</f>
        <v>0070009862</v>
      </c>
      <c r="E731" t="str">
        <f>CONCATENATE("0031174000315       ","")</f>
        <v>0031174000315       </v>
      </c>
      <c r="F731" t="str">
        <f>CONCATENATE("605282461","")</f>
        <v>605282461</v>
      </c>
      <c r="G731" t="s">
        <v>1423</v>
      </c>
      <c r="H731" t="s">
        <v>1427</v>
      </c>
      <c r="I731" t="s">
        <v>1428</v>
      </c>
      <c r="J731" t="str">
        <f t="shared" si="88"/>
        <v>080307</v>
      </c>
      <c r="K731" t="s">
        <v>22</v>
      </c>
      <c r="L731" t="s">
        <v>23</v>
      </c>
      <c r="M731" t="str">
        <f t="shared" si="90"/>
        <v>1</v>
      </c>
      <c r="O731" t="str">
        <f t="shared" si="91"/>
        <v>1 </v>
      </c>
      <c r="P731">
        <v>51.7</v>
      </c>
      <c r="Q731" t="s">
        <v>24</v>
      </c>
    </row>
    <row r="732" spans="1:17" ht="15">
      <c r="A732" t="s">
        <v>17</v>
      </c>
      <c r="B732" s="1">
        <v>43152</v>
      </c>
      <c r="C732" t="s">
        <v>1392</v>
      </c>
      <c r="D732" t="str">
        <f>CONCATENATE("0070009963","")</f>
        <v>0070009963</v>
      </c>
      <c r="E732" t="str">
        <f>CONCATENATE("0031174000500       ","")</f>
        <v>0031174000500       </v>
      </c>
      <c r="F732" t="str">
        <f>CONCATENATE("605282465","")</f>
        <v>605282465</v>
      </c>
      <c r="G732" t="s">
        <v>1423</v>
      </c>
      <c r="H732" t="s">
        <v>1429</v>
      </c>
      <c r="I732" t="s">
        <v>1428</v>
      </c>
      <c r="J732" t="str">
        <f t="shared" si="88"/>
        <v>080307</v>
      </c>
      <c r="K732" t="s">
        <v>22</v>
      </c>
      <c r="L732" t="s">
        <v>23</v>
      </c>
      <c r="M732" t="str">
        <f t="shared" si="90"/>
        <v>1</v>
      </c>
      <c r="O732" t="str">
        <f t="shared" si="91"/>
        <v>1 </v>
      </c>
      <c r="P732">
        <v>53.65</v>
      </c>
      <c r="Q732" t="s">
        <v>24</v>
      </c>
    </row>
    <row r="733" spans="1:17" ht="15">
      <c r="A733" t="s">
        <v>17</v>
      </c>
      <c r="B733" s="1">
        <v>43152</v>
      </c>
      <c r="C733" t="s">
        <v>1392</v>
      </c>
      <c r="D733" t="str">
        <f>CONCATENATE("0070009955","")</f>
        <v>0070009955</v>
      </c>
      <c r="E733" t="str">
        <f>CONCATENATE("0031174000580       ","")</f>
        <v>0031174000580       </v>
      </c>
      <c r="F733" t="str">
        <f>CONCATENATE("606082261","")</f>
        <v>606082261</v>
      </c>
      <c r="G733" t="s">
        <v>1423</v>
      </c>
      <c r="H733" t="s">
        <v>1430</v>
      </c>
      <c r="I733" t="s">
        <v>1428</v>
      </c>
      <c r="J733" t="str">
        <f t="shared" si="88"/>
        <v>080307</v>
      </c>
      <c r="K733" t="s">
        <v>22</v>
      </c>
      <c r="L733" t="s">
        <v>23</v>
      </c>
      <c r="M733" t="str">
        <f t="shared" si="90"/>
        <v>1</v>
      </c>
      <c r="O733" t="str">
        <f t="shared" si="91"/>
        <v>1 </v>
      </c>
      <c r="P733">
        <v>18.6</v>
      </c>
      <c r="Q733" t="s">
        <v>24</v>
      </c>
    </row>
    <row r="734" spans="1:17" ht="15">
      <c r="A734" t="s">
        <v>17</v>
      </c>
      <c r="B734" s="1">
        <v>43152</v>
      </c>
      <c r="C734" t="s">
        <v>1392</v>
      </c>
      <c r="D734" t="str">
        <f>CONCATENATE("0070012215","")</f>
        <v>0070012215</v>
      </c>
      <c r="E734" t="str">
        <f>CONCATENATE("0031175000040       ","")</f>
        <v>0031175000040       </v>
      </c>
      <c r="F734" t="str">
        <f>CONCATENATE("606844655","")</f>
        <v>606844655</v>
      </c>
      <c r="G734" t="s">
        <v>1431</v>
      </c>
      <c r="H734" t="s">
        <v>1432</v>
      </c>
      <c r="I734" t="s">
        <v>1433</v>
      </c>
      <c r="J734" t="str">
        <f t="shared" si="88"/>
        <v>080307</v>
      </c>
      <c r="K734" t="s">
        <v>22</v>
      </c>
      <c r="L734" t="s">
        <v>23</v>
      </c>
      <c r="M734" t="str">
        <f t="shared" si="90"/>
        <v>1</v>
      </c>
      <c r="O734" t="str">
        <f t="shared" si="91"/>
        <v>1 </v>
      </c>
      <c r="P734">
        <v>12.15</v>
      </c>
      <c r="Q734" t="s">
        <v>24</v>
      </c>
    </row>
    <row r="735" spans="1:17" ht="15">
      <c r="A735" t="s">
        <v>17</v>
      </c>
      <c r="B735" s="1">
        <v>43152</v>
      </c>
      <c r="C735" t="s">
        <v>1392</v>
      </c>
      <c r="D735" t="str">
        <f>CONCATENATE("0070011225","")</f>
        <v>0070011225</v>
      </c>
      <c r="E735" t="str">
        <f>CONCATENATE("0031176000005       ","")</f>
        <v>0031176000005       </v>
      </c>
      <c r="F735" t="str">
        <f>CONCATENATE("607655673","")</f>
        <v>607655673</v>
      </c>
      <c r="G735" t="s">
        <v>1434</v>
      </c>
      <c r="H735" t="s">
        <v>1435</v>
      </c>
      <c r="I735" t="s">
        <v>1436</v>
      </c>
      <c r="J735" t="str">
        <f t="shared" si="88"/>
        <v>080307</v>
      </c>
      <c r="K735" t="s">
        <v>22</v>
      </c>
      <c r="L735" t="s">
        <v>23</v>
      </c>
      <c r="M735" t="str">
        <f t="shared" si="90"/>
        <v>1</v>
      </c>
      <c r="O735" t="str">
        <f t="shared" si="91"/>
        <v>1 </v>
      </c>
      <c r="P735">
        <v>32.35</v>
      </c>
      <c r="Q735" t="s">
        <v>24</v>
      </c>
    </row>
    <row r="736" spans="1:17" ht="15">
      <c r="A736" t="s">
        <v>17</v>
      </c>
      <c r="B736" s="1">
        <v>43152</v>
      </c>
      <c r="C736" t="s">
        <v>1392</v>
      </c>
      <c r="D736" t="str">
        <f>CONCATENATE("0070011356","")</f>
        <v>0070011356</v>
      </c>
      <c r="E736" t="str">
        <f>CONCATENATE("0031176000035       ","")</f>
        <v>0031176000035       </v>
      </c>
      <c r="F736" t="str">
        <f>CONCATENATE("605275447","")</f>
        <v>605275447</v>
      </c>
      <c r="G736" t="s">
        <v>1434</v>
      </c>
      <c r="H736" t="s">
        <v>1437</v>
      </c>
      <c r="I736" t="s">
        <v>1438</v>
      </c>
      <c r="J736" t="str">
        <f t="shared" si="88"/>
        <v>080307</v>
      </c>
      <c r="K736" t="s">
        <v>22</v>
      </c>
      <c r="L736" t="s">
        <v>23</v>
      </c>
      <c r="M736" t="str">
        <f t="shared" si="90"/>
        <v>1</v>
      </c>
      <c r="O736" t="str">
        <f t="shared" si="91"/>
        <v>1 </v>
      </c>
      <c r="P736">
        <v>35.2</v>
      </c>
      <c r="Q736" t="s">
        <v>24</v>
      </c>
    </row>
    <row r="737" spans="1:17" ht="15">
      <c r="A737" t="s">
        <v>17</v>
      </c>
      <c r="B737" s="1">
        <v>43152</v>
      </c>
      <c r="C737" t="s">
        <v>1392</v>
      </c>
      <c r="D737" t="str">
        <f>CONCATENATE("0070027569","")</f>
        <v>0070027569</v>
      </c>
      <c r="E737" t="str">
        <f>CONCATENATE("0031176000095       ","")</f>
        <v>0031176000095       </v>
      </c>
      <c r="F737" t="str">
        <f>CONCATENATE("607308858","")</f>
        <v>607308858</v>
      </c>
      <c r="G737" t="s">
        <v>1434</v>
      </c>
      <c r="H737" t="s">
        <v>1439</v>
      </c>
      <c r="I737" t="s">
        <v>1440</v>
      </c>
      <c r="J737" t="str">
        <f t="shared" si="88"/>
        <v>080307</v>
      </c>
      <c r="K737" t="s">
        <v>22</v>
      </c>
      <c r="L737" t="s">
        <v>23</v>
      </c>
      <c r="M737" t="str">
        <f t="shared" si="90"/>
        <v>1</v>
      </c>
      <c r="O737" t="str">
        <f>CONCATENATE("3 ","")</f>
        <v>3 </v>
      </c>
      <c r="P737">
        <v>57.85</v>
      </c>
      <c r="Q737" t="s">
        <v>24</v>
      </c>
    </row>
    <row r="738" spans="1:17" ht="15">
      <c r="A738" t="s">
        <v>17</v>
      </c>
      <c r="B738" s="1">
        <v>43152</v>
      </c>
      <c r="C738" t="s">
        <v>1392</v>
      </c>
      <c r="D738" t="str">
        <f>CONCATENATE("0070011357","")</f>
        <v>0070011357</v>
      </c>
      <c r="E738" t="str">
        <f>CONCATENATE("0031176000205       ","")</f>
        <v>0031176000205       </v>
      </c>
      <c r="F738" t="str">
        <f>CONCATENATE("605773127","")</f>
        <v>605773127</v>
      </c>
      <c r="G738" t="s">
        <v>1434</v>
      </c>
      <c r="H738" t="s">
        <v>1441</v>
      </c>
      <c r="I738" t="s">
        <v>1438</v>
      </c>
      <c r="J738" t="str">
        <f t="shared" si="88"/>
        <v>080307</v>
      </c>
      <c r="K738" t="s">
        <v>22</v>
      </c>
      <c r="L738" t="s">
        <v>23</v>
      </c>
      <c r="M738" t="str">
        <f t="shared" si="90"/>
        <v>1</v>
      </c>
      <c r="O738" t="str">
        <f>CONCATENATE("1 ","")</f>
        <v>1 </v>
      </c>
      <c r="P738">
        <v>74.9</v>
      </c>
      <c r="Q738" t="s">
        <v>24</v>
      </c>
    </row>
    <row r="739" spans="1:17" ht="15">
      <c r="A739" t="s">
        <v>17</v>
      </c>
      <c r="B739" s="1">
        <v>43152</v>
      </c>
      <c r="C739" t="s">
        <v>1392</v>
      </c>
      <c r="D739" t="str">
        <f>CONCATENATE("0070009570","")</f>
        <v>0070009570</v>
      </c>
      <c r="E739" t="str">
        <f>CONCATENATE("0031176000210       ","")</f>
        <v>0031176000210       </v>
      </c>
      <c r="F739" t="str">
        <f>CONCATENATE("605275431","")</f>
        <v>605275431</v>
      </c>
      <c r="G739" t="s">
        <v>1434</v>
      </c>
      <c r="H739" t="s">
        <v>1442</v>
      </c>
      <c r="I739" t="s">
        <v>1438</v>
      </c>
      <c r="J739" t="str">
        <f t="shared" si="88"/>
        <v>080307</v>
      </c>
      <c r="K739" t="s">
        <v>22</v>
      </c>
      <c r="L739" t="s">
        <v>23</v>
      </c>
      <c r="M739" t="str">
        <f t="shared" si="90"/>
        <v>1</v>
      </c>
      <c r="O739" t="str">
        <f>CONCATENATE("1 ","")</f>
        <v>1 </v>
      </c>
      <c r="P739">
        <v>80.5</v>
      </c>
      <c r="Q739" t="s">
        <v>24</v>
      </c>
    </row>
    <row r="740" spans="1:17" ht="15">
      <c r="A740" t="s">
        <v>17</v>
      </c>
      <c r="B740" s="1">
        <v>43152</v>
      </c>
      <c r="C740" t="s">
        <v>1392</v>
      </c>
      <c r="D740" t="str">
        <f>CONCATENATE("0070009575","")</f>
        <v>0070009575</v>
      </c>
      <c r="E740" t="str">
        <f>CONCATENATE("0031176000220       ","")</f>
        <v>0031176000220       </v>
      </c>
      <c r="F740" t="str">
        <f>CONCATENATE("605275437","")</f>
        <v>605275437</v>
      </c>
      <c r="G740" t="s">
        <v>1434</v>
      </c>
      <c r="H740" t="s">
        <v>1443</v>
      </c>
      <c r="I740" t="s">
        <v>1438</v>
      </c>
      <c r="J740" t="str">
        <f t="shared" si="88"/>
        <v>080307</v>
      </c>
      <c r="K740" t="s">
        <v>22</v>
      </c>
      <c r="L740" t="s">
        <v>23</v>
      </c>
      <c r="M740" t="str">
        <f t="shared" si="90"/>
        <v>1</v>
      </c>
      <c r="O740" t="str">
        <f>CONCATENATE("1 ","")</f>
        <v>1 </v>
      </c>
      <c r="P740">
        <v>13.9</v>
      </c>
      <c r="Q740" t="s">
        <v>24</v>
      </c>
    </row>
    <row r="741" spans="1:17" ht="15">
      <c r="A741" t="s">
        <v>17</v>
      </c>
      <c r="B741" s="1">
        <v>43152</v>
      </c>
      <c r="C741" t="s">
        <v>1392</v>
      </c>
      <c r="D741" t="str">
        <f>CONCATENATE("0070014431","")</f>
        <v>0070014431</v>
      </c>
      <c r="E741" t="str">
        <f>CONCATENATE("0031176000510       ","")</f>
        <v>0031176000510       </v>
      </c>
      <c r="F741" t="str">
        <f>CONCATENATE("606895199","")</f>
        <v>606895199</v>
      </c>
      <c r="G741" t="s">
        <v>1434</v>
      </c>
      <c r="H741" t="s">
        <v>1444</v>
      </c>
      <c r="I741" t="s">
        <v>1445</v>
      </c>
      <c r="J741" t="str">
        <f t="shared" si="88"/>
        <v>080307</v>
      </c>
      <c r="K741" t="s">
        <v>22</v>
      </c>
      <c r="L741" t="s">
        <v>23</v>
      </c>
      <c r="M741" t="str">
        <f t="shared" si="90"/>
        <v>1</v>
      </c>
      <c r="O741" t="str">
        <f>CONCATENATE("1 ","")</f>
        <v>1 </v>
      </c>
      <c r="P741">
        <v>39</v>
      </c>
      <c r="Q741" t="s">
        <v>24</v>
      </c>
    </row>
    <row r="742" spans="1:17" ht="15">
      <c r="A742" t="s">
        <v>17</v>
      </c>
      <c r="B742" s="1">
        <v>43152</v>
      </c>
      <c r="C742" t="s">
        <v>1392</v>
      </c>
      <c r="D742" t="str">
        <f>CONCATENATE("0070020327","")</f>
        <v>0070020327</v>
      </c>
      <c r="E742" t="str">
        <f>CONCATENATE("0031178000030       ","")</f>
        <v>0031178000030       </v>
      </c>
      <c r="F742" t="str">
        <f>CONCATENATE("606034597","")</f>
        <v>606034597</v>
      </c>
      <c r="G742" t="s">
        <v>1446</v>
      </c>
      <c r="H742" t="s">
        <v>1447</v>
      </c>
      <c r="I742" t="s">
        <v>1448</v>
      </c>
      <c r="J742" t="str">
        <f t="shared" si="88"/>
        <v>080307</v>
      </c>
      <c r="K742" t="s">
        <v>22</v>
      </c>
      <c r="L742" t="s">
        <v>23</v>
      </c>
      <c r="M742" t="str">
        <f t="shared" si="90"/>
        <v>1</v>
      </c>
      <c r="O742" t="str">
        <f>CONCATENATE("4 ","")</f>
        <v>4 </v>
      </c>
      <c r="P742">
        <v>97.85</v>
      </c>
      <c r="Q742" t="s">
        <v>24</v>
      </c>
    </row>
    <row r="743" spans="1:17" ht="15">
      <c r="A743" t="s">
        <v>17</v>
      </c>
      <c r="B743" s="1">
        <v>43152</v>
      </c>
      <c r="C743" t="s">
        <v>1392</v>
      </c>
      <c r="D743" t="str">
        <f>CONCATENATE("0070021695","")</f>
        <v>0070021695</v>
      </c>
      <c r="E743" t="str">
        <f>CONCATENATE("0031178000480       ","")</f>
        <v>0031178000480       </v>
      </c>
      <c r="F743" t="str">
        <f>CONCATENATE("1865489","")</f>
        <v>1865489</v>
      </c>
      <c r="G743" t="s">
        <v>1446</v>
      </c>
      <c r="H743" t="s">
        <v>1449</v>
      </c>
      <c r="I743" t="s">
        <v>1450</v>
      </c>
      <c r="J743" t="str">
        <f t="shared" si="88"/>
        <v>080307</v>
      </c>
      <c r="K743" t="s">
        <v>22</v>
      </c>
      <c r="L743" t="s">
        <v>23</v>
      </c>
      <c r="M743" t="str">
        <f t="shared" si="90"/>
        <v>1</v>
      </c>
      <c r="O743" t="str">
        <f>CONCATENATE("2 ","")</f>
        <v>2 </v>
      </c>
      <c r="P743">
        <v>41</v>
      </c>
      <c r="Q743" t="s">
        <v>24</v>
      </c>
    </row>
    <row r="744" spans="1:17" ht="15">
      <c r="A744" t="s">
        <v>17</v>
      </c>
      <c r="B744" s="1">
        <v>43152</v>
      </c>
      <c r="C744" t="s">
        <v>587</v>
      </c>
      <c r="D744" t="str">
        <f>CONCATENATE("0070020890","")</f>
        <v>0070020890</v>
      </c>
      <c r="E744" t="str">
        <f>CONCATENATE("0031180000062       ","")</f>
        <v>0031180000062       </v>
      </c>
      <c r="F744" t="str">
        <f>CONCATENATE("1674561","")</f>
        <v>1674561</v>
      </c>
      <c r="G744" t="s">
        <v>1451</v>
      </c>
      <c r="H744" t="s">
        <v>1452</v>
      </c>
      <c r="I744" t="s">
        <v>1453</v>
      </c>
      <c r="J744" t="str">
        <f>CONCATENATE("080306","")</f>
        <v>080306</v>
      </c>
      <c r="K744" t="s">
        <v>22</v>
      </c>
      <c r="L744" t="s">
        <v>23</v>
      </c>
      <c r="M744" t="str">
        <f t="shared" si="90"/>
        <v>1</v>
      </c>
      <c r="O744" t="str">
        <f>CONCATENATE("1 ","")</f>
        <v>1 </v>
      </c>
      <c r="P744">
        <v>13.5</v>
      </c>
      <c r="Q744" t="s">
        <v>24</v>
      </c>
    </row>
    <row r="745" spans="1:17" ht="15">
      <c r="A745" t="s">
        <v>17</v>
      </c>
      <c r="B745" s="1">
        <v>43152</v>
      </c>
      <c r="C745" t="s">
        <v>587</v>
      </c>
      <c r="D745" t="str">
        <f>CONCATENATE("0070007462","")</f>
        <v>0070007462</v>
      </c>
      <c r="E745" t="str">
        <f>CONCATENATE("0031180000350       ","")</f>
        <v>0031180000350       </v>
      </c>
      <c r="F745" t="str">
        <f>CONCATENATE("606849919","")</f>
        <v>606849919</v>
      </c>
      <c r="G745" t="s">
        <v>1370</v>
      </c>
      <c r="H745" t="s">
        <v>1454</v>
      </c>
      <c r="I745" t="s">
        <v>1455</v>
      </c>
      <c r="J745" t="str">
        <f>CONCATENATE("080306","")</f>
        <v>080306</v>
      </c>
      <c r="K745" t="s">
        <v>22</v>
      </c>
      <c r="L745" t="s">
        <v>23</v>
      </c>
      <c r="M745" t="str">
        <f t="shared" si="90"/>
        <v>1</v>
      </c>
      <c r="O745" t="str">
        <f>CONCATENATE("2 ","")</f>
        <v>2 </v>
      </c>
      <c r="P745">
        <v>248.45</v>
      </c>
      <c r="Q745" t="s">
        <v>24</v>
      </c>
    </row>
    <row r="746" spans="1:17" ht="15">
      <c r="A746" t="s">
        <v>17</v>
      </c>
      <c r="B746" s="1">
        <v>43152</v>
      </c>
      <c r="C746" t="s">
        <v>1392</v>
      </c>
      <c r="D746" t="str">
        <f>CONCATENATE("0070009869","")</f>
        <v>0070009869</v>
      </c>
      <c r="E746" t="str">
        <f>CONCATENATE("0031190000270       ","")</f>
        <v>0031190000270       </v>
      </c>
      <c r="F746" t="str">
        <f>CONCATENATE("605274435","")</f>
        <v>605274435</v>
      </c>
      <c r="G746" t="s">
        <v>1456</v>
      </c>
      <c r="H746" t="s">
        <v>1457</v>
      </c>
      <c r="I746" t="s">
        <v>1458</v>
      </c>
      <c r="J746" t="str">
        <f>CONCATENATE("080307","")</f>
        <v>080307</v>
      </c>
      <c r="K746" t="s">
        <v>22</v>
      </c>
      <c r="L746" t="s">
        <v>23</v>
      </c>
      <c r="M746" t="str">
        <f t="shared" si="90"/>
        <v>1</v>
      </c>
      <c r="O746" t="str">
        <f aca="true" t="shared" si="92" ref="O746:O752">CONCATENATE("1 ","")</f>
        <v>1 </v>
      </c>
      <c r="P746">
        <v>19.85</v>
      </c>
      <c r="Q746" t="s">
        <v>24</v>
      </c>
    </row>
    <row r="747" spans="1:17" ht="15">
      <c r="A747" t="s">
        <v>17</v>
      </c>
      <c r="B747" s="1">
        <v>43152</v>
      </c>
      <c r="C747" t="s">
        <v>1392</v>
      </c>
      <c r="D747" t="str">
        <f>CONCATENATE("0070014403","")</f>
        <v>0070014403</v>
      </c>
      <c r="E747" t="str">
        <f>CONCATENATE("0031192000120       ","")</f>
        <v>0031192000120       </v>
      </c>
      <c r="F747" t="str">
        <f>CONCATENATE("606752491","")</f>
        <v>606752491</v>
      </c>
      <c r="G747" t="s">
        <v>1459</v>
      </c>
      <c r="H747" t="s">
        <v>1460</v>
      </c>
      <c r="I747" t="s">
        <v>1461</v>
      </c>
      <c r="J747" t="str">
        <f>CONCATENATE("080307","")</f>
        <v>080307</v>
      </c>
      <c r="K747" t="s">
        <v>22</v>
      </c>
      <c r="L747" t="s">
        <v>23</v>
      </c>
      <c r="M747" t="str">
        <f t="shared" si="90"/>
        <v>1</v>
      </c>
      <c r="O747" t="str">
        <f t="shared" si="92"/>
        <v>1 </v>
      </c>
      <c r="P747">
        <v>10.7</v>
      </c>
      <c r="Q747" t="s">
        <v>24</v>
      </c>
    </row>
    <row r="748" spans="1:17" ht="15">
      <c r="A748" t="s">
        <v>17</v>
      </c>
      <c r="B748" s="1">
        <v>43152</v>
      </c>
      <c r="C748" t="s">
        <v>1392</v>
      </c>
      <c r="D748" t="str">
        <f>CONCATENATE("0070023039","")</f>
        <v>0070023039</v>
      </c>
      <c r="E748" t="str">
        <f>CONCATENATE("0031194000107       ","")</f>
        <v>0031194000107       </v>
      </c>
      <c r="F748" t="str">
        <f>CONCATENATE("606602882","")</f>
        <v>606602882</v>
      </c>
      <c r="G748" t="s">
        <v>1456</v>
      </c>
      <c r="H748" t="s">
        <v>1462</v>
      </c>
      <c r="I748" t="s">
        <v>1463</v>
      </c>
      <c r="J748" t="str">
        <f>CONCATENATE("080307","")</f>
        <v>080307</v>
      </c>
      <c r="K748" t="s">
        <v>22</v>
      </c>
      <c r="L748" t="s">
        <v>23</v>
      </c>
      <c r="M748" t="str">
        <f aca="true" t="shared" si="93" ref="M748:M780">CONCATENATE("1","")</f>
        <v>1</v>
      </c>
      <c r="O748" t="str">
        <f t="shared" si="92"/>
        <v>1 </v>
      </c>
      <c r="P748">
        <v>63.65</v>
      </c>
      <c r="Q748" t="s">
        <v>24</v>
      </c>
    </row>
    <row r="749" spans="1:17" ht="15">
      <c r="A749" t="s">
        <v>17</v>
      </c>
      <c r="B749" s="1">
        <v>43152</v>
      </c>
      <c r="C749" t="s">
        <v>1392</v>
      </c>
      <c r="D749" t="str">
        <f>CONCATENATE("0070009655","")</f>
        <v>0070009655</v>
      </c>
      <c r="E749" t="str">
        <f>CONCATENATE("0031194000270       ","")</f>
        <v>0031194000270       </v>
      </c>
      <c r="F749" t="str">
        <f>CONCATENATE("608094574","")</f>
        <v>608094574</v>
      </c>
      <c r="G749" t="s">
        <v>1456</v>
      </c>
      <c r="H749" t="s">
        <v>1464</v>
      </c>
      <c r="I749" t="s">
        <v>1465</v>
      </c>
      <c r="J749" t="str">
        <f>CONCATENATE("080307","")</f>
        <v>080307</v>
      </c>
      <c r="K749" t="s">
        <v>22</v>
      </c>
      <c r="L749" t="s">
        <v>23</v>
      </c>
      <c r="M749" t="str">
        <f t="shared" si="93"/>
        <v>1</v>
      </c>
      <c r="O749" t="str">
        <f t="shared" si="92"/>
        <v>1 </v>
      </c>
      <c r="P749">
        <v>144.9</v>
      </c>
      <c r="Q749" t="s">
        <v>24</v>
      </c>
    </row>
    <row r="750" spans="1:17" ht="15">
      <c r="A750" t="s">
        <v>17</v>
      </c>
      <c r="B750" s="1">
        <v>43152</v>
      </c>
      <c r="C750" t="s">
        <v>1392</v>
      </c>
      <c r="D750" t="str">
        <f>CONCATENATE("0070021177","")</f>
        <v>0070021177</v>
      </c>
      <c r="E750" t="str">
        <f>CONCATENATE("0031194000445       ","")</f>
        <v>0031194000445       </v>
      </c>
      <c r="F750" t="str">
        <f>CONCATENATE("1762009","")</f>
        <v>1762009</v>
      </c>
      <c r="G750" t="s">
        <v>1456</v>
      </c>
      <c r="H750" t="s">
        <v>1466</v>
      </c>
      <c r="I750" t="s">
        <v>1467</v>
      </c>
      <c r="J750" t="str">
        <f>CONCATENATE("080307","")</f>
        <v>080307</v>
      </c>
      <c r="K750" t="s">
        <v>22</v>
      </c>
      <c r="L750" t="s">
        <v>23</v>
      </c>
      <c r="M750" t="str">
        <f t="shared" si="93"/>
        <v>1</v>
      </c>
      <c r="O750" t="str">
        <f t="shared" si="92"/>
        <v>1 </v>
      </c>
      <c r="P750">
        <v>18.75</v>
      </c>
      <c r="Q750" t="s">
        <v>24</v>
      </c>
    </row>
    <row r="751" spans="1:17" ht="15">
      <c r="A751" t="s">
        <v>17</v>
      </c>
      <c r="B751" s="1">
        <v>43152</v>
      </c>
      <c r="C751" t="s">
        <v>111</v>
      </c>
      <c r="D751" t="str">
        <f>CONCATENATE("0070023733","")</f>
        <v>0070023733</v>
      </c>
      <c r="E751" t="str">
        <f>CONCATENATE("0031194001124       ","")</f>
        <v>0031194001124       </v>
      </c>
      <c r="F751" t="str">
        <f>CONCATENATE("606663427","")</f>
        <v>606663427</v>
      </c>
      <c r="G751" t="s">
        <v>1468</v>
      </c>
      <c r="H751" t="s">
        <v>1469</v>
      </c>
      <c r="I751" t="s">
        <v>1470</v>
      </c>
      <c r="J751" t="str">
        <f>CONCATENATE("080301","")</f>
        <v>080301</v>
      </c>
      <c r="K751" t="s">
        <v>22</v>
      </c>
      <c r="L751" t="s">
        <v>23</v>
      </c>
      <c r="M751" t="str">
        <f t="shared" si="93"/>
        <v>1</v>
      </c>
      <c r="O751" t="str">
        <f t="shared" si="92"/>
        <v>1 </v>
      </c>
      <c r="P751">
        <v>138.25</v>
      </c>
      <c r="Q751" t="s">
        <v>24</v>
      </c>
    </row>
    <row r="752" spans="1:17" ht="15">
      <c r="A752" t="s">
        <v>17</v>
      </c>
      <c r="B752" s="1">
        <v>43152</v>
      </c>
      <c r="C752" t="s">
        <v>1392</v>
      </c>
      <c r="D752" t="str">
        <f>CONCATENATE("0070009638","")</f>
        <v>0070009638</v>
      </c>
      <c r="E752" t="str">
        <f>CONCATENATE("0031205000360       ","")</f>
        <v>0031205000360       </v>
      </c>
      <c r="F752" t="str">
        <f>CONCATENATE("607662723","")</f>
        <v>607662723</v>
      </c>
      <c r="G752" t="s">
        <v>1471</v>
      </c>
      <c r="H752" t="s">
        <v>1472</v>
      </c>
      <c r="I752" t="s">
        <v>1473</v>
      </c>
      <c r="J752" t="str">
        <f aca="true" t="shared" si="94" ref="J752:J761">CONCATENATE("080307","")</f>
        <v>080307</v>
      </c>
      <c r="K752" t="s">
        <v>22</v>
      </c>
      <c r="L752" t="s">
        <v>23</v>
      </c>
      <c r="M752" t="str">
        <f t="shared" si="93"/>
        <v>1</v>
      </c>
      <c r="O752" t="str">
        <f t="shared" si="92"/>
        <v>1 </v>
      </c>
      <c r="P752">
        <v>96.2</v>
      </c>
      <c r="Q752" t="s">
        <v>24</v>
      </c>
    </row>
    <row r="753" spans="1:17" ht="15">
      <c r="A753" t="s">
        <v>17</v>
      </c>
      <c r="B753" s="1">
        <v>43152</v>
      </c>
      <c r="C753" t="s">
        <v>1392</v>
      </c>
      <c r="D753" t="str">
        <f>CONCATENATE("0070009721","")</f>
        <v>0070009721</v>
      </c>
      <c r="E753" t="str">
        <f>CONCATENATE("0031205001420       ","")</f>
        <v>0031205001420       </v>
      </c>
      <c r="F753" t="str">
        <f>CONCATENATE("605347357","")</f>
        <v>605347357</v>
      </c>
      <c r="G753" t="s">
        <v>1474</v>
      </c>
      <c r="H753" t="s">
        <v>1475</v>
      </c>
      <c r="I753" t="s">
        <v>1473</v>
      </c>
      <c r="J753" t="str">
        <f t="shared" si="94"/>
        <v>080307</v>
      </c>
      <c r="K753" t="s">
        <v>22</v>
      </c>
      <c r="L753" t="s">
        <v>23</v>
      </c>
      <c r="M753" t="str">
        <f t="shared" si="93"/>
        <v>1</v>
      </c>
      <c r="O753" t="str">
        <f>CONCATENATE("4 ","")</f>
        <v>4 </v>
      </c>
      <c r="P753">
        <v>49.85</v>
      </c>
      <c r="Q753" t="s">
        <v>24</v>
      </c>
    </row>
    <row r="754" spans="1:17" ht="15">
      <c r="A754" t="s">
        <v>17</v>
      </c>
      <c r="B754" s="1">
        <v>43152</v>
      </c>
      <c r="C754" t="s">
        <v>1392</v>
      </c>
      <c r="D754" t="str">
        <f>CONCATENATE("0070009731","")</f>
        <v>0070009731</v>
      </c>
      <c r="E754" t="str">
        <f>CONCATENATE("0031205001700       ","")</f>
        <v>0031205001700       </v>
      </c>
      <c r="F754" t="str">
        <f>CONCATENATE("605276610","")</f>
        <v>605276610</v>
      </c>
      <c r="G754" t="s">
        <v>1474</v>
      </c>
      <c r="H754" t="s">
        <v>1476</v>
      </c>
      <c r="I754" t="s">
        <v>1473</v>
      </c>
      <c r="J754" t="str">
        <f t="shared" si="94"/>
        <v>080307</v>
      </c>
      <c r="K754" t="s">
        <v>22</v>
      </c>
      <c r="L754" t="s">
        <v>23</v>
      </c>
      <c r="M754" t="str">
        <f t="shared" si="93"/>
        <v>1</v>
      </c>
      <c r="O754" t="str">
        <f>CONCATENATE("1 ","")</f>
        <v>1 </v>
      </c>
      <c r="P754">
        <v>10.65</v>
      </c>
      <c r="Q754" t="s">
        <v>24</v>
      </c>
    </row>
    <row r="755" spans="1:17" ht="15">
      <c r="A755" t="s">
        <v>17</v>
      </c>
      <c r="B755" s="1">
        <v>43152</v>
      </c>
      <c r="C755" t="s">
        <v>1392</v>
      </c>
      <c r="D755" t="str">
        <f>CONCATENATE("0070009976","")</f>
        <v>0070009976</v>
      </c>
      <c r="E755" t="str">
        <f>CONCATENATE("0031265000570       ","")</f>
        <v>0031265000570       </v>
      </c>
      <c r="F755" t="str">
        <f>CONCATENATE("605282982","")</f>
        <v>605282982</v>
      </c>
      <c r="G755" t="s">
        <v>1477</v>
      </c>
      <c r="H755" t="s">
        <v>1478</v>
      </c>
      <c r="I755" t="s">
        <v>1479</v>
      </c>
      <c r="J755" t="str">
        <f t="shared" si="94"/>
        <v>080307</v>
      </c>
      <c r="K755" t="s">
        <v>22</v>
      </c>
      <c r="L755" t="s">
        <v>23</v>
      </c>
      <c r="M755" t="str">
        <f t="shared" si="93"/>
        <v>1</v>
      </c>
      <c r="O755" t="str">
        <f>CONCATENATE("1 ","")</f>
        <v>1 </v>
      </c>
      <c r="P755">
        <v>15.65</v>
      </c>
      <c r="Q755" t="s">
        <v>24</v>
      </c>
    </row>
    <row r="756" spans="1:17" ht="15">
      <c r="A756" t="s">
        <v>17</v>
      </c>
      <c r="B756" s="1">
        <v>43152</v>
      </c>
      <c r="C756" t="s">
        <v>1392</v>
      </c>
      <c r="D756" t="str">
        <f>CONCATENATE("0070009888","")</f>
        <v>0070009888</v>
      </c>
      <c r="E756" t="str">
        <f>CONCATENATE("0031270000290       ","")</f>
        <v>0031270000290       </v>
      </c>
      <c r="F756" t="str">
        <f>CONCATENATE("605283008","")</f>
        <v>605283008</v>
      </c>
      <c r="G756" t="s">
        <v>1480</v>
      </c>
      <c r="H756" t="s">
        <v>1481</v>
      </c>
      <c r="I756" t="s">
        <v>1482</v>
      </c>
      <c r="J756" t="str">
        <f t="shared" si="94"/>
        <v>080307</v>
      </c>
      <c r="K756" t="s">
        <v>22</v>
      </c>
      <c r="L756" t="s">
        <v>23</v>
      </c>
      <c r="M756" t="str">
        <f t="shared" si="93"/>
        <v>1</v>
      </c>
      <c r="O756" t="str">
        <f>CONCATENATE("2 ","")</f>
        <v>2 </v>
      </c>
      <c r="P756">
        <v>17.2</v>
      </c>
      <c r="Q756" t="s">
        <v>24</v>
      </c>
    </row>
    <row r="757" spans="1:17" ht="15">
      <c r="A757" t="s">
        <v>17</v>
      </c>
      <c r="B757" s="1">
        <v>43152</v>
      </c>
      <c r="C757" t="s">
        <v>1392</v>
      </c>
      <c r="D757" t="str">
        <f>CONCATENATE("0070020301","")</f>
        <v>0070020301</v>
      </c>
      <c r="E757" t="str">
        <f>CONCATENATE("0031276000010       ","")</f>
        <v>0031276000010       </v>
      </c>
      <c r="F757" t="str">
        <f>CONCATENATE("605932068","")</f>
        <v>605932068</v>
      </c>
      <c r="G757" t="s">
        <v>1483</v>
      </c>
      <c r="H757" t="s">
        <v>1484</v>
      </c>
      <c r="I757" t="s">
        <v>1485</v>
      </c>
      <c r="J757" t="str">
        <f t="shared" si="94"/>
        <v>080307</v>
      </c>
      <c r="K757" t="s">
        <v>22</v>
      </c>
      <c r="L757" t="s">
        <v>23</v>
      </c>
      <c r="M757" t="str">
        <f t="shared" si="93"/>
        <v>1</v>
      </c>
      <c r="O757" t="str">
        <f aca="true" t="shared" si="95" ref="O757:O788">CONCATENATE("1 ","")</f>
        <v>1 </v>
      </c>
      <c r="P757">
        <v>20.95</v>
      </c>
      <c r="Q757" t="s">
        <v>24</v>
      </c>
    </row>
    <row r="758" spans="1:17" ht="15">
      <c r="A758" t="s">
        <v>17</v>
      </c>
      <c r="B758" s="1">
        <v>43152</v>
      </c>
      <c r="C758" t="s">
        <v>1392</v>
      </c>
      <c r="D758" t="str">
        <f>CONCATENATE("0070020297","")</f>
        <v>0070020297</v>
      </c>
      <c r="E758" t="str">
        <f>CONCATENATE("0031276000020       ","")</f>
        <v>0031276000020       </v>
      </c>
      <c r="F758" t="str">
        <f>CONCATENATE("605932062","")</f>
        <v>605932062</v>
      </c>
      <c r="G758" t="s">
        <v>1483</v>
      </c>
      <c r="H758" t="s">
        <v>1486</v>
      </c>
      <c r="I758" t="s">
        <v>1487</v>
      </c>
      <c r="J758" t="str">
        <f t="shared" si="94"/>
        <v>080307</v>
      </c>
      <c r="K758" t="s">
        <v>22</v>
      </c>
      <c r="L758" t="s">
        <v>23</v>
      </c>
      <c r="M758" t="str">
        <f t="shared" si="93"/>
        <v>1</v>
      </c>
      <c r="O758" t="str">
        <f t="shared" si="95"/>
        <v>1 </v>
      </c>
      <c r="P758">
        <v>16.5</v>
      </c>
      <c r="Q758" t="s">
        <v>24</v>
      </c>
    </row>
    <row r="759" spans="1:17" ht="15">
      <c r="A759" t="s">
        <v>17</v>
      </c>
      <c r="B759" s="1">
        <v>43152</v>
      </c>
      <c r="C759" t="s">
        <v>1392</v>
      </c>
      <c r="D759" t="str">
        <f>CONCATENATE("0070020302","")</f>
        <v>0070020302</v>
      </c>
      <c r="E759" t="str">
        <f>CONCATENATE("0031276000040       ","")</f>
        <v>0031276000040       </v>
      </c>
      <c r="F759" t="str">
        <f>CONCATENATE("605932064","")</f>
        <v>605932064</v>
      </c>
      <c r="G759" t="s">
        <v>1483</v>
      </c>
      <c r="H759" t="s">
        <v>1488</v>
      </c>
      <c r="I759" t="s">
        <v>1489</v>
      </c>
      <c r="J759" t="str">
        <f t="shared" si="94"/>
        <v>080307</v>
      </c>
      <c r="K759" t="s">
        <v>22</v>
      </c>
      <c r="L759" t="s">
        <v>23</v>
      </c>
      <c r="M759" t="str">
        <f t="shared" si="93"/>
        <v>1</v>
      </c>
      <c r="O759" t="str">
        <f t="shared" si="95"/>
        <v>1 </v>
      </c>
      <c r="P759">
        <v>76.25</v>
      </c>
      <c r="Q759" t="s">
        <v>24</v>
      </c>
    </row>
    <row r="760" spans="1:17" ht="15">
      <c r="A760" t="s">
        <v>17</v>
      </c>
      <c r="B760" s="1">
        <v>43152</v>
      </c>
      <c r="C760" t="s">
        <v>1392</v>
      </c>
      <c r="D760" t="str">
        <f>CONCATENATE("0070020303","")</f>
        <v>0070020303</v>
      </c>
      <c r="E760" t="str">
        <f>CONCATENATE("0031276000050       ","")</f>
        <v>0031276000050       </v>
      </c>
      <c r="F760" t="str">
        <f>CONCATENATE("605931312","")</f>
        <v>605931312</v>
      </c>
      <c r="G760" t="s">
        <v>1483</v>
      </c>
      <c r="H760" t="s">
        <v>1490</v>
      </c>
      <c r="I760" t="s">
        <v>1485</v>
      </c>
      <c r="J760" t="str">
        <f t="shared" si="94"/>
        <v>080307</v>
      </c>
      <c r="K760" t="s">
        <v>22</v>
      </c>
      <c r="L760" t="s">
        <v>23</v>
      </c>
      <c r="M760" t="str">
        <f t="shared" si="93"/>
        <v>1</v>
      </c>
      <c r="O760" t="str">
        <f t="shared" si="95"/>
        <v>1 </v>
      </c>
      <c r="P760">
        <v>11.95</v>
      </c>
      <c r="Q760" t="s">
        <v>24</v>
      </c>
    </row>
    <row r="761" spans="1:17" ht="15">
      <c r="A761" t="s">
        <v>17</v>
      </c>
      <c r="B761" s="1">
        <v>43152</v>
      </c>
      <c r="C761" t="s">
        <v>1392</v>
      </c>
      <c r="D761" t="str">
        <f>CONCATENATE("0070020296","")</f>
        <v>0070020296</v>
      </c>
      <c r="E761" t="str">
        <f>CONCATENATE("0031276000060       ","")</f>
        <v>0031276000060       </v>
      </c>
      <c r="F761" t="str">
        <f>CONCATENATE("605932070","")</f>
        <v>605932070</v>
      </c>
      <c r="G761" t="s">
        <v>1483</v>
      </c>
      <c r="H761" t="s">
        <v>1491</v>
      </c>
      <c r="I761" t="s">
        <v>1485</v>
      </c>
      <c r="J761" t="str">
        <f t="shared" si="94"/>
        <v>080307</v>
      </c>
      <c r="K761" t="s">
        <v>22</v>
      </c>
      <c r="L761" t="s">
        <v>23</v>
      </c>
      <c r="M761" t="str">
        <f t="shared" si="93"/>
        <v>1</v>
      </c>
      <c r="O761" t="str">
        <f t="shared" si="95"/>
        <v>1 </v>
      </c>
      <c r="P761">
        <v>10.3</v>
      </c>
      <c r="Q761" t="s">
        <v>24</v>
      </c>
    </row>
    <row r="762" spans="1:17" ht="15">
      <c r="A762" t="s">
        <v>17</v>
      </c>
      <c r="B762" s="1">
        <v>43152</v>
      </c>
      <c r="C762" t="s">
        <v>1492</v>
      </c>
      <c r="D762" t="str">
        <f>CONCATENATE("0070007480","")</f>
        <v>0070007480</v>
      </c>
      <c r="E762" t="str">
        <f>CONCATENATE("0130201000097       ","")</f>
        <v>0130201000097       </v>
      </c>
      <c r="F762" t="str">
        <f>CONCATENATE("606674354","")</f>
        <v>606674354</v>
      </c>
      <c r="G762" t="s">
        <v>1493</v>
      </c>
      <c r="H762" t="s">
        <v>1494</v>
      </c>
      <c r="I762" t="s">
        <v>1495</v>
      </c>
      <c r="J762" t="str">
        <f aca="true" t="shared" si="96" ref="J762:J793">CONCATENATE("081302","")</f>
        <v>081302</v>
      </c>
      <c r="K762" t="s">
        <v>22</v>
      </c>
      <c r="L762" t="s">
        <v>23</v>
      </c>
      <c r="M762" t="str">
        <f t="shared" si="93"/>
        <v>1</v>
      </c>
      <c r="O762" t="str">
        <f t="shared" si="95"/>
        <v>1 </v>
      </c>
      <c r="P762">
        <v>148</v>
      </c>
      <c r="Q762" t="s">
        <v>24</v>
      </c>
    </row>
    <row r="763" spans="1:17" ht="15">
      <c r="A763" t="s">
        <v>17</v>
      </c>
      <c r="B763" s="1">
        <v>43152</v>
      </c>
      <c r="C763" t="s">
        <v>1492</v>
      </c>
      <c r="D763" t="str">
        <f>CONCATENATE("0070023087","")</f>
        <v>0070023087</v>
      </c>
      <c r="E763" t="str">
        <f>CONCATENATE("0130201000209       ","")</f>
        <v>0130201000209       </v>
      </c>
      <c r="F763" t="str">
        <f>CONCATENATE("606594606","")</f>
        <v>606594606</v>
      </c>
      <c r="G763" t="s">
        <v>1493</v>
      </c>
      <c r="H763" t="s">
        <v>1496</v>
      </c>
      <c r="I763" t="s">
        <v>1497</v>
      </c>
      <c r="J763" t="str">
        <f t="shared" si="96"/>
        <v>081302</v>
      </c>
      <c r="K763" t="s">
        <v>22</v>
      </c>
      <c r="L763" t="s">
        <v>23</v>
      </c>
      <c r="M763" t="str">
        <f t="shared" si="93"/>
        <v>1</v>
      </c>
      <c r="O763" t="str">
        <f t="shared" si="95"/>
        <v>1 </v>
      </c>
      <c r="P763">
        <v>44.85</v>
      </c>
      <c r="Q763" t="s">
        <v>24</v>
      </c>
    </row>
    <row r="764" spans="1:17" ht="15">
      <c r="A764" t="s">
        <v>17</v>
      </c>
      <c r="B764" s="1">
        <v>43152</v>
      </c>
      <c r="C764" t="s">
        <v>1492</v>
      </c>
      <c r="D764" t="str">
        <f>CONCATENATE("0070016343","")</f>
        <v>0070016343</v>
      </c>
      <c r="E764" t="str">
        <f>CONCATENATE("0130201000217       ","")</f>
        <v>0130201000217       </v>
      </c>
      <c r="F764" t="str">
        <f>CONCATENATE("606903857","")</f>
        <v>606903857</v>
      </c>
      <c r="G764" t="s">
        <v>1493</v>
      </c>
      <c r="H764" t="s">
        <v>1498</v>
      </c>
      <c r="I764" t="s">
        <v>1499</v>
      </c>
      <c r="J764" t="str">
        <f t="shared" si="96"/>
        <v>081302</v>
      </c>
      <c r="K764" t="s">
        <v>22</v>
      </c>
      <c r="L764" t="s">
        <v>23</v>
      </c>
      <c r="M764" t="str">
        <f t="shared" si="93"/>
        <v>1</v>
      </c>
      <c r="O764" t="str">
        <f t="shared" si="95"/>
        <v>1 </v>
      </c>
      <c r="P764">
        <v>48.45</v>
      </c>
      <c r="Q764" t="s">
        <v>24</v>
      </c>
    </row>
    <row r="765" spans="1:17" ht="15">
      <c r="A765" t="s">
        <v>17</v>
      </c>
      <c r="B765" s="1">
        <v>43152</v>
      </c>
      <c r="C765" t="s">
        <v>1492</v>
      </c>
      <c r="D765" t="str">
        <f>CONCATENATE("0070007499","")</f>
        <v>0070007499</v>
      </c>
      <c r="E765" t="str">
        <f>CONCATENATE("0130201000221       ","")</f>
        <v>0130201000221       </v>
      </c>
      <c r="F765" t="str">
        <f>CONCATENATE("606846122","")</f>
        <v>606846122</v>
      </c>
      <c r="G765" t="s">
        <v>1500</v>
      </c>
      <c r="H765" t="s">
        <v>1501</v>
      </c>
      <c r="I765" t="s">
        <v>1502</v>
      </c>
      <c r="J765" t="str">
        <f t="shared" si="96"/>
        <v>081302</v>
      </c>
      <c r="K765" t="s">
        <v>22</v>
      </c>
      <c r="L765" t="s">
        <v>23</v>
      </c>
      <c r="M765" t="str">
        <f t="shared" si="93"/>
        <v>1</v>
      </c>
      <c r="O765" t="str">
        <f t="shared" si="95"/>
        <v>1 </v>
      </c>
      <c r="P765">
        <v>67.85</v>
      </c>
      <c r="Q765" t="s">
        <v>24</v>
      </c>
    </row>
    <row r="766" spans="1:17" ht="15">
      <c r="A766" t="s">
        <v>17</v>
      </c>
      <c r="B766" s="1">
        <v>43152</v>
      </c>
      <c r="C766" t="s">
        <v>1492</v>
      </c>
      <c r="D766" t="str">
        <f>CONCATENATE("0070009589","")</f>
        <v>0070009589</v>
      </c>
      <c r="E766" t="str">
        <f>CONCATENATE("0130201000245       ","")</f>
        <v>0130201000245       </v>
      </c>
      <c r="F766" t="str">
        <f>CONCATENATE("606750328","")</f>
        <v>606750328</v>
      </c>
      <c r="G766" t="s">
        <v>1500</v>
      </c>
      <c r="H766" t="s">
        <v>1503</v>
      </c>
      <c r="I766" t="s">
        <v>1492</v>
      </c>
      <c r="J766" t="str">
        <f t="shared" si="96"/>
        <v>081302</v>
      </c>
      <c r="K766" t="s">
        <v>22</v>
      </c>
      <c r="L766" t="s">
        <v>23</v>
      </c>
      <c r="M766" t="str">
        <f t="shared" si="93"/>
        <v>1</v>
      </c>
      <c r="O766" t="str">
        <f t="shared" si="95"/>
        <v>1 </v>
      </c>
      <c r="P766">
        <v>259.15</v>
      </c>
      <c r="Q766" t="s">
        <v>24</v>
      </c>
    </row>
    <row r="767" spans="1:17" ht="15">
      <c r="A767" t="s">
        <v>17</v>
      </c>
      <c r="B767" s="1">
        <v>43152</v>
      </c>
      <c r="C767" t="s">
        <v>1492</v>
      </c>
      <c r="D767" t="str">
        <f>CONCATENATE("0070007947","")</f>
        <v>0070007947</v>
      </c>
      <c r="E767" t="str">
        <f>CONCATENATE("0130201000274       ","")</f>
        <v>0130201000274       </v>
      </c>
      <c r="F767" t="str">
        <f>CONCATENATE("1937110","")</f>
        <v>1937110</v>
      </c>
      <c r="G767" t="s">
        <v>1500</v>
      </c>
      <c r="H767" t="s">
        <v>1504</v>
      </c>
      <c r="I767" t="s">
        <v>1505</v>
      </c>
      <c r="J767" t="str">
        <f t="shared" si="96"/>
        <v>081302</v>
      </c>
      <c r="K767" t="s">
        <v>22</v>
      </c>
      <c r="L767" t="s">
        <v>23</v>
      </c>
      <c r="M767" t="str">
        <f t="shared" si="93"/>
        <v>1</v>
      </c>
      <c r="O767" t="str">
        <f t="shared" si="95"/>
        <v>1 </v>
      </c>
      <c r="P767">
        <v>162.65</v>
      </c>
      <c r="Q767" t="s">
        <v>24</v>
      </c>
    </row>
    <row r="768" spans="1:17" ht="15">
      <c r="A768" t="s">
        <v>17</v>
      </c>
      <c r="B768" s="1">
        <v>43152</v>
      </c>
      <c r="C768" t="s">
        <v>1492</v>
      </c>
      <c r="D768" t="str">
        <f>CONCATENATE("0070022636","")</f>
        <v>0070022636</v>
      </c>
      <c r="E768" t="str">
        <f>CONCATENATE("0130201000415       ","")</f>
        <v>0130201000415       </v>
      </c>
      <c r="F768" t="str">
        <f>CONCATENATE("2190059","")</f>
        <v>2190059</v>
      </c>
      <c r="G768" t="s">
        <v>1493</v>
      </c>
      <c r="H768" t="s">
        <v>1506</v>
      </c>
      <c r="I768" t="s">
        <v>1507</v>
      </c>
      <c r="J768" t="str">
        <f t="shared" si="96"/>
        <v>081302</v>
      </c>
      <c r="K768" t="s">
        <v>22</v>
      </c>
      <c r="L768" t="s">
        <v>23</v>
      </c>
      <c r="M768" t="str">
        <f t="shared" si="93"/>
        <v>1</v>
      </c>
      <c r="O768" t="str">
        <f t="shared" si="95"/>
        <v>1 </v>
      </c>
      <c r="P768">
        <v>25.05</v>
      </c>
      <c r="Q768" t="s">
        <v>24</v>
      </c>
    </row>
    <row r="769" spans="1:17" ht="15">
      <c r="A769" t="s">
        <v>17</v>
      </c>
      <c r="B769" s="1">
        <v>43152</v>
      </c>
      <c r="C769" t="s">
        <v>1492</v>
      </c>
      <c r="D769" t="str">
        <f>CONCATENATE("0070014429","")</f>
        <v>0070014429</v>
      </c>
      <c r="E769" t="str">
        <f>CONCATENATE("0130201000451       ","")</f>
        <v>0130201000451       </v>
      </c>
      <c r="F769" t="str">
        <f>CONCATENATE("606754727","")</f>
        <v>606754727</v>
      </c>
      <c r="G769" t="s">
        <v>1493</v>
      </c>
      <c r="H769" t="s">
        <v>1508</v>
      </c>
      <c r="I769" t="s">
        <v>1509</v>
      </c>
      <c r="J769" t="str">
        <f t="shared" si="96"/>
        <v>081302</v>
      </c>
      <c r="K769" t="s">
        <v>22</v>
      </c>
      <c r="L769" t="s">
        <v>23</v>
      </c>
      <c r="M769" t="str">
        <f t="shared" si="93"/>
        <v>1</v>
      </c>
      <c r="O769" t="str">
        <f t="shared" si="95"/>
        <v>1 </v>
      </c>
      <c r="P769">
        <v>31</v>
      </c>
      <c r="Q769" t="s">
        <v>24</v>
      </c>
    </row>
    <row r="770" spans="1:17" ht="15">
      <c r="A770" t="s">
        <v>17</v>
      </c>
      <c r="B770" s="1">
        <v>43152</v>
      </c>
      <c r="C770" t="s">
        <v>1492</v>
      </c>
      <c r="D770" t="str">
        <f>CONCATENATE("0070009287","")</f>
        <v>0070009287</v>
      </c>
      <c r="E770" t="str">
        <f>CONCATENATE("0130201000452       ","")</f>
        <v>0130201000452       </v>
      </c>
      <c r="F770" t="str">
        <f>CONCATENATE("605232816","")</f>
        <v>605232816</v>
      </c>
      <c r="G770" t="s">
        <v>1493</v>
      </c>
      <c r="H770" t="s">
        <v>1510</v>
      </c>
      <c r="I770" t="s">
        <v>1492</v>
      </c>
      <c r="J770" t="str">
        <f t="shared" si="96"/>
        <v>081302</v>
      </c>
      <c r="K770" t="s">
        <v>22</v>
      </c>
      <c r="L770" t="s">
        <v>23</v>
      </c>
      <c r="M770" t="str">
        <f t="shared" si="93"/>
        <v>1</v>
      </c>
      <c r="O770" t="str">
        <f t="shared" si="95"/>
        <v>1 </v>
      </c>
      <c r="P770">
        <v>94.15</v>
      </c>
      <c r="Q770" t="s">
        <v>24</v>
      </c>
    </row>
    <row r="771" spans="1:17" ht="15">
      <c r="A771" t="s">
        <v>17</v>
      </c>
      <c r="B771" s="1">
        <v>43152</v>
      </c>
      <c r="C771" t="s">
        <v>1492</v>
      </c>
      <c r="D771" t="str">
        <f>CONCATENATE("0070007575","")</f>
        <v>0070007575</v>
      </c>
      <c r="E771" t="str">
        <f>CONCATENATE("0130201000455       ","")</f>
        <v>0130201000455       </v>
      </c>
      <c r="F771" t="str">
        <f>CONCATENATE("606674351","")</f>
        <v>606674351</v>
      </c>
      <c r="G771" t="s">
        <v>1493</v>
      </c>
      <c r="H771" t="s">
        <v>1511</v>
      </c>
      <c r="I771" t="s">
        <v>1512</v>
      </c>
      <c r="J771" t="str">
        <f t="shared" si="96"/>
        <v>081302</v>
      </c>
      <c r="K771" t="s">
        <v>22</v>
      </c>
      <c r="L771" t="s">
        <v>23</v>
      </c>
      <c r="M771" t="str">
        <f t="shared" si="93"/>
        <v>1</v>
      </c>
      <c r="O771" t="str">
        <f t="shared" si="95"/>
        <v>1 </v>
      </c>
      <c r="P771">
        <v>54.65</v>
      </c>
      <c r="Q771" t="s">
        <v>24</v>
      </c>
    </row>
    <row r="772" spans="1:17" ht="15">
      <c r="A772" t="s">
        <v>17</v>
      </c>
      <c r="B772" s="1">
        <v>43152</v>
      </c>
      <c r="C772" t="s">
        <v>1492</v>
      </c>
      <c r="D772" t="str">
        <f>CONCATENATE("0070007577","")</f>
        <v>0070007577</v>
      </c>
      <c r="E772" t="str">
        <f>CONCATENATE("0130201000463       ","")</f>
        <v>0130201000463       </v>
      </c>
      <c r="F772" t="str">
        <f>CONCATENATE("2126735","")</f>
        <v>2126735</v>
      </c>
      <c r="G772" t="s">
        <v>1493</v>
      </c>
      <c r="H772" t="s">
        <v>1513</v>
      </c>
      <c r="I772" t="s">
        <v>1514</v>
      </c>
      <c r="J772" t="str">
        <f t="shared" si="96"/>
        <v>081302</v>
      </c>
      <c r="K772" t="s">
        <v>22</v>
      </c>
      <c r="L772" t="s">
        <v>23</v>
      </c>
      <c r="M772" t="str">
        <f t="shared" si="93"/>
        <v>1</v>
      </c>
      <c r="O772" t="str">
        <f t="shared" si="95"/>
        <v>1 </v>
      </c>
      <c r="P772">
        <v>13.3</v>
      </c>
      <c r="Q772" t="s">
        <v>24</v>
      </c>
    </row>
    <row r="773" spans="1:17" ht="15">
      <c r="A773" t="s">
        <v>17</v>
      </c>
      <c r="B773" s="1">
        <v>43152</v>
      </c>
      <c r="C773" t="s">
        <v>1492</v>
      </c>
      <c r="D773" t="str">
        <f>CONCATENATE("0070007582","")</f>
        <v>0070007582</v>
      </c>
      <c r="E773" t="str">
        <f>CONCATENATE("0130201000470       ","")</f>
        <v>0130201000470       </v>
      </c>
      <c r="F773" t="str">
        <f>CONCATENATE("606674346","")</f>
        <v>606674346</v>
      </c>
      <c r="G773" t="s">
        <v>1493</v>
      </c>
      <c r="H773" t="s">
        <v>1515</v>
      </c>
      <c r="I773" t="s">
        <v>1516</v>
      </c>
      <c r="J773" t="str">
        <f t="shared" si="96"/>
        <v>081302</v>
      </c>
      <c r="K773" t="s">
        <v>22</v>
      </c>
      <c r="L773" t="s">
        <v>23</v>
      </c>
      <c r="M773" t="str">
        <f t="shared" si="93"/>
        <v>1</v>
      </c>
      <c r="O773" t="str">
        <f t="shared" si="95"/>
        <v>1 </v>
      </c>
      <c r="P773">
        <v>36.2</v>
      </c>
      <c r="Q773" t="s">
        <v>24</v>
      </c>
    </row>
    <row r="774" spans="1:17" ht="15">
      <c r="A774" t="s">
        <v>17</v>
      </c>
      <c r="B774" s="1">
        <v>43152</v>
      </c>
      <c r="C774" t="s">
        <v>1492</v>
      </c>
      <c r="D774" t="str">
        <f>CONCATENATE("0070007593","")</f>
        <v>0070007593</v>
      </c>
      <c r="E774" t="str">
        <f>CONCATENATE("0130201000504       ","")</f>
        <v>0130201000504       </v>
      </c>
      <c r="F774" t="str">
        <f>CONCATENATE("606750309","")</f>
        <v>606750309</v>
      </c>
      <c r="G774" t="s">
        <v>1493</v>
      </c>
      <c r="H774" t="s">
        <v>1517</v>
      </c>
      <c r="I774" t="s">
        <v>1518</v>
      </c>
      <c r="J774" t="str">
        <f t="shared" si="96"/>
        <v>081302</v>
      </c>
      <c r="K774" t="s">
        <v>22</v>
      </c>
      <c r="L774" t="s">
        <v>23</v>
      </c>
      <c r="M774" t="str">
        <f t="shared" si="93"/>
        <v>1</v>
      </c>
      <c r="O774" t="str">
        <f t="shared" si="95"/>
        <v>1 </v>
      </c>
      <c r="P774">
        <v>34.6</v>
      </c>
      <c r="Q774" t="s">
        <v>24</v>
      </c>
    </row>
    <row r="775" spans="1:17" ht="15">
      <c r="A775" t="s">
        <v>17</v>
      </c>
      <c r="B775" s="1">
        <v>43152</v>
      </c>
      <c r="C775" t="s">
        <v>1492</v>
      </c>
      <c r="D775" t="str">
        <f>CONCATENATE("0070007616","")</f>
        <v>0070007616</v>
      </c>
      <c r="E775" t="str">
        <f>CONCATENATE("0130201000573       ","")</f>
        <v>0130201000573       </v>
      </c>
      <c r="F775" t="str">
        <f>CONCATENATE("607441973","")</f>
        <v>607441973</v>
      </c>
      <c r="G775" t="s">
        <v>1493</v>
      </c>
      <c r="H775" t="s">
        <v>1121</v>
      </c>
      <c r="I775" t="s">
        <v>1519</v>
      </c>
      <c r="J775" t="str">
        <f t="shared" si="96"/>
        <v>081302</v>
      </c>
      <c r="K775" t="s">
        <v>22</v>
      </c>
      <c r="L775" t="s">
        <v>23</v>
      </c>
      <c r="M775" t="str">
        <f t="shared" si="93"/>
        <v>1</v>
      </c>
      <c r="O775" t="str">
        <f t="shared" si="95"/>
        <v>1 </v>
      </c>
      <c r="P775">
        <v>629.25</v>
      </c>
      <c r="Q775" t="s">
        <v>24</v>
      </c>
    </row>
    <row r="776" spans="1:17" ht="15">
      <c r="A776" t="s">
        <v>17</v>
      </c>
      <c r="B776" s="1">
        <v>43152</v>
      </c>
      <c r="C776" t="s">
        <v>1492</v>
      </c>
      <c r="D776" t="str">
        <f>CONCATENATE("0070023996","")</f>
        <v>0070023996</v>
      </c>
      <c r="E776" t="str">
        <f>CONCATENATE("0130201000668       ","")</f>
        <v>0130201000668       </v>
      </c>
      <c r="F776" t="str">
        <f>CONCATENATE("606755424","")</f>
        <v>606755424</v>
      </c>
      <c r="G776" t="s">
        <v>1520</v>
      </c>
      <c r="H776" t="s">
        <v>1521</v>
      </c>
      <c r="I776" t="s">
        <v>1522</v>
      </c>
      <c r="J776" t="str">
        <f t="shared" si="96"/>
        <v>081302</v>
      </c>
      <c r="K776" t="s">
        <v>22</v>
      </c>
      <c r="L776" t="s">
        <v>23</v>
      </c>
      <c r="M776" t="str">
        <f t="shared" si="93"/>
        <v>1</v>
      </c>
      <c r="O776" t="str">
        <f t="shared" si="95"/>
        <v>1 </v>
      </c>
      <c r="P776">
        <v>81.95</v>
      </c>
      <c r="Q776" t="s">
        <v>24</v>
      </c>
    </row>
    <row r="777" spans="1:17" ht="15">
      <c r="A777" t="s">
        <v>17</v>
      </c>
      <c r="B777" s="1">
        <v>43152</v>
      </c>
      <c r="C777" t="s">
        <v>1492</v>
      </c>
      <c r="D777" t="str">
        <f>CONCATENATE("0070022787","")</f>
        <v>0070022787</v>
      </c>
      <c r="E777" t="str">
        <f>CONCATENATE("0130201000672       ","")</f>
        <v>0130201000672       </v>
      </c>
      <c r="F777" t="str">
        <f>CONCATENATE("2186233","")</f>
        <v>2186233</v>
      </c>
      <c r="G777" t="s">
        <v>1520</v>
      </c>
      <c r="H777" t="s">
        <v>1523</v>
      </c>
      <c r="I777" t="s">
        <v>1524</v>
      </c>
      <c r="J777" t="str">
        <f t="shared" si="96"/>
        <v>081302</v>
      </c>
      <c r="K777" t="s">
        <v>22</v>
      </c>
      <c r="L777" t="s">
        <v>23</v>
      </c>
      <c r="M777" t="str">
        <f t="shared" si="93"/>
        <v>1</v>
      </c>
      <c r="O777" t="str">
        <f t="shared" si="95"/>
        <v>1 </v>
      </c>
      <c r="P777">
        <v>87.2</v>
      </c>
      <c r="Q777" t="s">
        <v>24</v>
      </c>
    </row>
    <row r="778" spans="1:17" ht="15">
      <c r="A778" t="s">
        <v>17</v>
      </c>
      <c r="B778" s="1">
        <v>43152</v>
      </c>
      <c r="C778" t="s">
        <v>1492</v>
      </c>
      <c r="D778" t="str">
        <f>CONCATENATE("0070007655","")</f>
        <v>0070007655</v>
      </c>
      <c r="E778" t="str">
        <f>CONCATENATE("0130201000703       ","")</f>
        <v>0130201000703       </v>
      </c>
      <c r="F778" t="str">
        <f>CONCATENATE("1760141","")</f>
        <v>1760141</v>
      </c>
      <c r="G778" t="s">
        <v>1520</v>
      </c>
      <c r="H778" t="s">
        <v>1525</v>
      </c>
      <c r="I778" t="s">
        <v>1526</v>
      </c>
      <c r="J778" t="str">
        <f t="shared" si="96"/>
        <v>081302</v>
      </c>
      <c r="K778" t="s">
        <v>22</v>
      </c>
      <c r="L778" t="s">
        <v>23</v>
      </c>
      <c r="M778" t="str">
        <f t="shared" si="93"/>
        <v>1</v>
      </c>
      <c r="O778" t="str">
        <f t="shared" si="95"/>
        <v>1 </v>
      </c>
      <c r="P778">
        <v>25.7</v>
      </c>
      <c r="Q778" t="s">
        <v>24</v>
      </c>
    </row>
    <row r="779" spans="1:17" ht="15">
      <c r="A779" t="s">
        <v>17</v>
      </c>
      <c r="B779" s="1">
        <v>43152</v>
      </c>
      <c r="C779" t="s">
        <v>1492</v>
      </c>
      <c r="D779" t="str">
        <f>CONCATENATE("0070015209","")</f>
        <v>0070015209</v>
      </c>
      <c r="E779" t="str">
        <f>CONCATENATE("0130201000966       ","")</f>
        <v>0130201000966       </v>
      </c>
      <c r="F779" t="str">
        <f>CONCATENATE("605085455","")</f>
        <v>605085455</v>
      </c>
      <c r="G779" t="s">
        <v>1520</v>
      </c>
      <c r="H779" t="s">
        <v>1527</v>
      </c>
      <c r="I779" t="s">
        <v>1528</v>
      </c>
      <c r="J779" t="str">
        <f t="shared" si="96"/>
        <v>081302</v>
      </c>
      <c r="K779" t="s">
        <v>22</v>
      </c>
      <c r="L779" t="s">
        <v>23</v>
      </c>
      <c r="M779" t="str">
        <f t="shared" si="93"/>
        <v>1</v>
      </c>
      <c r="O779" t="str">
        <f t="shared" si="95"/>
        <v>1 </v>
      </c>
      <c r="P779">
        <v>38.75</v>
      </c>
      <c r="Q779" t="s">
        <v>24</v>
      </c>
    </row>
    <row r="780" spans="1:17" ht="15">
      <c r="A780" t="s">
        <v>17</v>
      </c>
      <c r="B780" s="1">
        <v>43152</v>
      </c>
      <c r="C780" t="s">
        <v>1492</v>
      </c>
      <c r="D780" t="str">
        <f>CONCATENATE("0070007683","")</f>
        <v>0070007683</v>
      </c>
      <c r="E780" t="str">
        <f>CONCATENATE("0130201000983       ","")</f>
        <v>0130201000983       </v>
      </c>
      <c r="F780" t="str">
        <f>CONCATENATE("606897991","")</f>
        <v>606897991</v>
      </c>
      <c r="G780" t="s">
        <v>1520</v>
      </c>
      <c r="H780" t="s">
        <v>1529</v>
      </c>
      <c r="I780" t="s">
        <v>1530</v>
      </c>
      <c r="J780" t="str">
        <f t="shared" si="96"/>
        <v>081302</v>
      </c>
      <c r="K780" t="s">
        <v>22</v>
      </c>
      <c r="L780" t="s">
        <v>23</v>
      </c>
      <c r="M780" t="str">
        <f t="shared" si="93"/>
        <v>1</v>
      </c>
      <c r="O780" t="str">
        <f t="shared" si="95"/>
        <v>1 </v>
      </c>
      <c r="P780">
        <v>45.85</v>
      </c>
      <c r="Q780" t="s">
        <v>24</v>
      </c>
    </row>
    <row r="781" spans="1:17" ht="15">
      <c r="A781" t="s">
        <v>17</v>
      </c>
      <c r="B781" s="1">
        <v>43152</v>
      </c>
      <c r="C781" t="s">
        <v>1492</v>
      </c>
      <c r="D781" t="str">
        <f>CONCATENATE("0070023742","")</f>
        <v>0070023742</v>
      </c>
      <c r="E781" t="str">
        <f>CONCATENATE("0130201002178       ","")</f>
        <v>0130201002178       </v>
      </c>
      <c r="F781" t="str">
        <f>CONCATENATE("13013416","")</f>
        <v>13013416</v>
      </c>
      <c r="G781" t="s">
        <v>1531</v>
      </c>
      <c r="H781" t="s">
        <v>1532</v>
      </c>
      <c r="I781" t="s">
        <v>1533</v>
      </c>
      <c r="J781" t="str">
        <f t="shared" si="96"/>
        <v>081302</v>
      </c>
      <c r="K781" t="s">
        <v>22</v>
      </c>
      <c r="L781" t="s">
        <v>23</v>
      </c>
      <c r="M781" t="str">
        <f>CONCATENATE("3","")</f>
        <v>3</v>
      </c>
      <c r="O781" t="str">
        <f t="shared" si="95"/>
        <v>1 </v>
      </c>
      <c r="P781">
        <v>124.7</v>
      </c>
      <c r="Q781" t="s">
        <v>51</v>
      </c>
    </row>
    <row r="782" spans="1:17" ht="15">
      <c r="A782" t="s">
        <v>17</v>
      </c>
      <c r="B782" s="1">
        <v>43152</v>
      </c>
      <c r="C782" t="s">
        <v>1492</v>
      </c>
      <c r="D782" t="str">
        <f>CONCATENATE("0070013964","")</f>
        <v>0070013964</v>
      </c>
      <c r="E782" t="str">
        <f>CONCATENATE("0130201002195       ","")</f>
        <v>0130201002195       </v>
      </c>
      <c r="F782" t="str">
        <f>CONCATENATE("607442276","")</f>
        <v>607442276</v>
      </c>
      <c r="G782" t="s">
        <v>1531</v>
      </c>
      <c r="H782" t="s">
        <v>1534</v>
      </c>
      <c r="I782" t="s">
        <v>1535</v>
      </c>
      <c r="J782" t="str">
        <f t="shared" si="96"/>
        <v>081302</v>
      </c>
      <c r="K782" t="s">
        <v>22</v>
      </c>
      <c r="L782" t="s">
        <v>23</v>
      </c>
      <c r="M782" t="str">
        <f aca="true" t="shared" si="97" ref="M782:M788">CONCATENATE("1","")</f>
        <v>1</v>
      </c>
      <c r="O782" t="str">
        <f t="shared" si="95"/>
        <v>1 </v>
      </c>
      <c r="P782">
        <v>58.25</v>
      </c>
      <c r="Q782" t="s">
        <v>24</v>
      </c>
    </row>
    <row r="783" spans="1:17" ht="15">
      <c r="A783" t="s">
        <v>17</v>
      </c>
      <c r="B783" s="1">
        <v>43152</v>
      </c>
      <c r="C783" t="s">
        <v>1492</v>
      </c>
      <c r="D783" t="str">
        <f>CONCATENATE("0070016796","")</f>
        <v>0070016796</v>
      </c>
      <c r="E783" t="str">
        <f>CONCATENATE("0130201002205       ","")</f>
        <v>0130201002205       </v>
      </c>
      <c r="F783" t="str">
        <f>CONCATENATE("607444974","")</f>
        <v>607444974</v>
      </c>
      <c r="G783" t="s">
        <v>1531</v>
      </c>
      <c r="H783" t="s">
        <v>1536</v>
      </c>
      <c r="I783" t="s">
        <v>1537</v>
      </c>
      <c r="J783" t="str">
        <f t="shared" si="96"/>
        <v>081302</v>
      </c>
      <c r="K783" t="s">
        <v>22</v>
      </c>
      <c r="L783" t="s">
        <v>23</v>
      </c>
      <c r="M783" t="str">
        <f t="shared" si="97"/>
        <v>1</v>
      </c>
      <c r="O783" t="str">
        <f t="shared" si="95"/>
        <v>1 </v>
      </c>
      <c r="P783">
        <v>78.8</v>
      </c>
      <c r="Q783" t="s">
        <v>24</v>
      </c>
    </row>
    <row r="784" spans="1:17" ht="15">
      <c r="A784" t="s">
        <v>17</v>
      </c>
      <c r="B784" s="1">
        <v>43152</v>
      </c>
      <c r="C784" t="s">
        <v>1492</v>
      </c>
      <c r="D784" t="str">
        <f>CONCATENATE("0070022914","")</f>
        <v>0070022914</v>
      </c>
      <c r="E784" t="str">
        <f>CONCATENATE("0130201002207       ","")</f>
        <v>0130201002207       </v>
      </c>
      <c r="F784" t="str">
        <f>CONCATENATE("2190435","")</f>
        <v>2190435</v>
      </c>
      <c r="G784" t="s">
        <v>1531</v>
      </c>
      <c r="H784" t="s">
        <v>1538</v>
      </c>
      <c r="I784" t="s">
        <v>1539</v>
      </c>
      <c r="J784" t="str">
        <f t="shared" si="96"/>
        <v>081302</v>
      </c>
      <c r="K784" t="s">
        <v>22</v>
      </c>
      <c r="L784" t="s">
        <v>23</v>
      </c>
      <c r="M784" t="str">
        <f t="shared" si="97"/>
        <v>1</v>
      </c>
      <c r="O784" t="str">
        <f t="shared" si="95"/>
        <v>1 </v>
      </c>
      <c r="P784">
        <v>38.7</v>
      </c>
      <c r="Q784" t="s">
        <v>24</v>
      </c>
    </row>
    <row r="785" spans="1:17" ht="15">
      <c r="A785" t="s">
        <v>17</v>
      </c>
      <c r="B785" s="1">
        <v>43152</v>
      </c>
      <c r="C785" t="s">
        <v>1492</v>
      </c>
      <c r="D785" t="str">
        <f>CONCATENATE("0070022385","")</f>
        <v>0070022385</v>
      </c>
      <c r="E785" t="str">
        <f>CONCATENATE("0130201002397       ","")</f>
        <v>0130201002397       </v>
      </c>
      <c r="F785" t="str">
        <f>CONCATENATE("2150180","")</f>
        <v>2150180</v>
      </c>
      <c r="G785" t="s">
        <v>1531</v>
      </c>
      <c r="H785" t="s">
        <v>1540</v>
      </c>
      <c r="I785" t="s">
        <v>1539</v>
      </c>
      <c r="J785" t="str">
        <f t="shared" si="96"/>
        <v>081302</v>
      </c>
      <c r="K785" t="s">
        <v>22</v>
      </c>
      <c r="L785" t="s">
        <v>23</v>
      </c>
      <c r="M785" t="str">
        <f t="shared" si="97"/>
        <v>1</v>
      </c>
      <c r="O785" t="str">
        <f t="shared" si="95"/>
        <v>1 </v>
      </c>
      <c r="P785">
        <v>52.15</v>
      </c>
      <c r="Q785" t="s">
        <v>24</v>
      </c>
    </row>
    <row r="786" spans="1:17" ht="15">
      <c r="A786" t="s">
        <v>17</v>
      </c>
      <c r="B786" s="1">
        <v>43152</v>
      </c>
      <c r="C786" t="s">
        <v>1492</v>
      </c>
      <c r="D786" t="str">
        <f>CONCATENATE("0070020523","")</f>
        <v>0070020523</v>
      </c>
      <c r="E786" t="str">
        <f>CONCATENATE("0130201002413       ","")</f>
        <v>0130201002413       </v>
      </c>
      <c r="F786" t="str">
        <f>CONCATENATE("605941094","")</f>
        <v>605941094</v>
      </c>
      <c r="G786" t="s">
        <v>1531</v>
      </c>
      <c r="H786" t="s">
        <v>1541</v>
      </c>
      <c r="I786" t="s">
        <v>1542</v>
      </c>
      <c r="J786" t="str">
        <f t="shared" si="96"/>
        <v>081302</v>
      </c>
      <c r="K786" t="s">
        <v>22</v>
      </c>
      <c r="L786" t="s">
        <v>23</v>
      </c>
      <c r="M786" t="str">
        <f t="shared" si="97"/>
        <v>1</v>
      </c>
      <c r="O786" t="str">
        <f t="shared" si="95"/>
        <v>1 </v>
      </c>
      <c r="P786">
        <v>66.6</v>
      </c>
      <c r="Q786" t="s">
        <v>24</v>
      </c>
    </row>
    <row r="787" spans="1:17" ht="15">
      <c r="A787" t="s">
        <v>17</v>
      </c>
      <c r="B787" s="1">
        <v>43152</v>
      </c>
      <c r="C787" t="s">
        <v>1492</v>
      </c>
      <c r="D787" t="str">
        <f>CONCATENATE("0070010078","")</f>
        <v>0070010078</v>
      </c>
      <c r="E787" t="str">
        <f>CONCATENATE("0130201002438       ","")</f>
        <v>0130201002438       </v>
      </c>
      <c r="F787" t="str">
        <f>CONCATENATE("605749325","")</f>
        <v>605749325</v>
      </c>
      <c r="G787" t="s">
        <v>1531</v>
      </c>
      <c r="H787" t="s">
        <v>1543</v>
      </c>
      <c r="I787" t="s">
        <v>1544</v>
      </c>
      <c r="J787" t="str">
        <f t="shared" si="96"/>
        <v>081302</v>
      </c>
      <c r="K787" t="s">
        <v>22</v>
      </c>
      <c r="L787" t="s">
        <v>23</v>
      </c>
      <c r="M787" t="str">
        <f t="shared" si="97"/>
        <v>1</v>
      </c>
      <c r="O787" t="str">
        <f t="shared" si="95"/>
        <v>1 </v>
      </c>
      <c r="P787">
        <v>83.75</v>
      </c>
      <c r="Q787" t="s">
        <v>24</v>
      </c>
    </row>
    <row r="788" spans="1:17" ht="15">
      <c r="A788" t="s">
        <v>17</v>
      </c>
      <c r="B788" s="1">
        <v>43152</v>
      </c>
      <c r="C788" t="s">
        <v>1492</v>
      </c>
      <c r="D788" t="str">
        <f>CONCATENATE("0070025005","")</f>
        <v>0070025005</v>
      </c>
      <c r="E788" t="str">
        <f>CONCATENATE("0130201002439       ","")</f>
        <v>0130201002439       </v>
      </c>
      <c r="F788" t="str">
        <f>CONCATENATE("607310390","")</f>
        <v>607310390</v>
      </c>
      <c r="G788" t="s">
        <v>1531</v>
      </c>
      <c r="H788" t="s">
        <v>1545</v>
      </c>
      <c r="I788" t="s">
        <v>1546</v>
      </c>
      <c r="J788" t="str">
        <f t="shared" si="96"/>
        <v>081302</v>
      </c>
      <c r="K788" t="s">
        <v>22</v>
      </c>
      <c r="L788" t="s">
        <v>23</v>
      </c>
      <c r="M788" t="str">
        <f t="shared" si="97"/>
        <v>1</v>
      </c>
      <c r="O788" t="str">
        <f t="shared" si="95"/>
        <v>1 </v>
      </c>
      <c r="P788">
        <v>32.7</v>
      </c>
      <c r="Q788" t="s">
        <v>24</v>
      </c>
    </row>
    <row r="789" spans="1:17" ht="15">
      <c r="A789" t="s">
        <v>17</v>
      </c>
      <c r="B789" s="1">
        <v>43152</v>
      </c>
      <c r="C789" t="s">
        <v>1492</v>
      </c>
      <c r="D789" t="str">
        <f>CONCATENATE("0070007793","")</f>
        <v>0070007793</v>
      </c>
      <c r="E789" t="str">
        <f>CONCATENATE("0130201002491       ","")</f>
        <v>0130201002491       </v>
      </c>
      <c r="F789" t="str">
        <f>CONCATENATE("4150313","")</f>
        <v>4150313</v>
      </c>
      <c r="G789" t="s">
        <v>1493</v>
      </c>
      <c r="H789" t="s">
        <v>1547</v>
      </c>
      <c r="I789" t="s">
        <v>1535</v>
      </c>
      <c r="J789" t="str">
        <f t="shared" si="96"/>
        <v>081302</v>
      </c>
      <c r="K789" t="s">
        <v>22</v>
      </c>
      <c r="L789" t="s">
        <v>23</v>
      </c>
      <c r="M789" t="str">
        <f>CONCATENATE("3","")</f>
        <v>3</v>
      </c>
      <c r="O789" t="str">
        <f aca="true" t="shared" si="98" ref="O789:O811">CONCATENATE("1 ","")</f>
        <v>1 </v>
      </c>
      <c r="P789">
        <v>22.45</v>
      </c>
      <c r="Q789" t="s">
        <v>24</v>
      </c>
    </row>
    <row r="790" spans="1:17" ht="15">
      <c r="A790" t="s">
        <v>17</v>
      </c>
      <c r="B790" s="1">
        <v>43152</v>
      </c>
      <c r="C790" t="s">
        <v>1492</v>
      </c>
      <c r="D790" t="str">
        <f>CONCATENATE("0070012710","")</f>
        <v>0070012710</v>
      </c>
      <c r="E790" t="str">
        <f>CONCATENATE("0130201002492       ","")</f>
        <v>0130201002492       </v>
      </c>
      <c r="F790" t="str">
        <f>CONCATENATE("605749317","")</f>
        <v>605749317</v>
      </c>
      <c r="G790" t="s">
        <v>1493</v>
      </c>
      <c r="H790" t="s">
        <v>1548</v>
      </c>
      <c r="I790" t="s">
        <v>1549</v>
      </c>
      <c r="J790" t="str">
        <f t="shared" si="96"/>
        <v>081302</v>
      </c>
      <c r="K790" t="s">
        <v>22</v>
      </c>
      <c r="L790" t="s">
        <v>23</v>
      </c>
      <c r="M790" t="str">
        <f>CONCATENATE("1","")</f>
        <v>1</v>
      </c>
      <c r="O790" t="str">
        <f t="shared" si="98"/>
        <v>1 </v>
      </c>
      <c r="P790">
        <v>72.9</v>
      </c>
      <c r="Q790" t="s">
        <v>24</v>
      </c>
    </row>
    <row r="791" spans="1:17" ht="15">
      <c r="A791" t="s">
        <v>17</v>
      </c>
      <c r="B791" s="1">
        <v>43152</v>
      </c>
      <c r="C791" t="s">
        <v>1492</v>
      </c>
      <c r="D791" t="str">
        <f>CONCATENATE("0070014017","")</f>
        <v>0070014017</v>
      </c>
      <c r="E791" t="str">
        <f>CONCATENATE("0130201004185       ","")</f>
        <v>0130201004185       </v>
      </c>
      <c r="F791" t="str">
        <f>CONCATENATE("1257432","")</f>
        <v>1257432</v>
      </c>
      <c r="G791" t="s">
        <v>1550</v>
      </c>
      <c r="H791" t="s">
        <v>1551</v>
      </c>
      <c r="I791" t="s">
        <v>1552</v>
      </c>
      <c r="J791" t="str">
        <f t="shared" si="96"/>
        <v>081302</v>
      </c>
      <c r="K791" t="s">
        <v>22</v>
      </c>
      <c r="L791" t="s">
        <v>23</v>
      </c>
      <c r="M791" t="str">
        <f>CONCATENATE("3","")</f>
        <v>3</v>
      </c>
      <c r="O791" t="str">
        <f t="shared" si="98"/>
        <v>1 </v>
      </c>
      <c r="P791">
        <v>13.9</v>
      </c>
      <c r="Q791" t="s">
        <v>51</v>
      </c>
    </row>
    <row r="792" spans="1:17" ht="15">
      <c r="A792" t="s">
        <v>17</v>
      </c>
      <c r="B792" s="1">
        <v>43152</v>
      </c>
      <c r="C792" t="s">
        <v>1492</v>
      </c>
      <c r="D792" t="str">
        <f>CONCATENATE("0070007822","")</f>
        <v>0070007822</v>
      </c>
      <c r="E792" t="str">
        <f>CONCATENATE("0130201004216       ","")</f>
        <v>0130201004216       </v>
      </c>
      <c r="F792" t="str">
        <f>CONCATENATE("1932506","")</f>
        <v>1932506</v>
      </c>
      <c r="G792" t="s">
        <v>1550</v>
      </c>
      <c r="H792" t="s">
        <v>1553</v>
      </c>
      <c r="I792" t="s">
        <v>1554</v>
      </c>
      <c r="J792" t="str">
        <f t="shared" si="96"/>
        <v>081302</v>
      </c>
      <c r="K792" t="s">
        <v>22</v>
      </c>
      <c r="L792" t="s">
        <v>23</v>
      </c>
      <c r="M792" t="str">
        <f>CONCATENATE("1","")</f>
        <v>1</v>
      </c>
      <c r="O792" t="str">
        <f t="shared" si="98"/>
        <v>1 </v>
      </c>
      <c r="P792">
        <v>25.45</v>
      </c>
      <c r="Q792" t="s">
        <v>24</v>
      </c>
    </row>
    <row r="793" spans="1:17" ht="15">
      <c r="A793" t="s">
        <v>17</v>
      </c>
      <c r="B793" s="1">
        <v>43152</v>
      </c>
      <c r="C793" t="s">
        <v>1492</v>
      </c>
      <c r="D793" t="str">
        <f>CONCATENATE("0070020005","")</f>
        <v>0070020005</v>
      </c>
      <c r="E793" t="str">
        <f>CONCATENATE("0130201004218       ","")</f>
        <v>0130201004218       </v>
      </c>
      <c r="F793" t="str">
        <f>CONCATENATE("605945634","")</f>
        <v>605945634</v>
      </c>
      <c r="G793" t="s">
        <v>1550</v>
      </c>
      <c r="H793" t="s">
        <v>1555</v>
      </c>
      <c r="I793" t="s">
        <v>1556</v>
      </c>
      <c r="J793" t="str">
        <f t="shared" si="96"/>
        <v>081302</v>
      </c>
      <c r="K793" t="s">
        <v>22</v>
      </c>
      <c r="L793" t="s">
        <v>23</v>
      </c>
      <c r="M793" t="str">
        <f>CONCATENATE("1","")</f>
        <v>1</v>
      </c>
      <c r="O793" t="str">
        <f t="shared" si="98"/>
        <v>1 </v>
      </c>
      <c r="P793">
        <v>40.95</v>
      </c>
      <c r="Q793" t="s">
        <v>24</v>
      </c>
    </row>
    <row r="794" spans="1:17" ht="15">
      <c r="A794" t="s">
        <v>17</v>
      </c>
      <c r="B794" s="1">
        <v>43152</v>
      </c>
      <c r="C794" t="s">
        <v>1492</v>
      </c>
      <c r="D794" t="str">
        <f>CONCATENATE("0070023278","")</f>
        <v>0070023278</v>
      </c>
      <c r="E794" t="str">
        <f>CONCATENATE("0130201004323       ","")</f>
        <v>0130201004323       </v>
      </c>
      <c r="F794" t="str">
        <f>CONCATENATE("13013446","")</f>
        <v>13013446</v>
      </c>
      <c r="G794" t="s">
        <v>1550</v>
      </c>
      <c r="H794" t="s">
        <v>1555</v>
      </c>
      <c r="I794" t="s">
        <v>1557</v>
      </c>
      <c r="J794" t="str">
        <f aca="true" t="shared" si="99" ref="J794:J825">CONCATENATE("081302","")</f>
        <v>081302</v>
      </c>
      <c r="K794" t="s">
        <v>22</v>
      </c>
      <c r="L794" t="s">
        <v>23</v>
      </c>
      <c r="M794" t="str">
        <f>CONCATENATE("3","")</f>
        <v>3</v>
      </c>
      <c r="O794" t="str">
        <f t="shared" si="98"/>
        <v>1 </v>
      </c>
      <c r="P794">
        <v>101.25</v>
      </c>
      <c r="Q794" t="s">
        <v>51</v>
      </c>
    </row>
    <row r="795" spans="1:17" ht="15">
      <c r="A795" t="s">
        <v>17</v>
      </c>
      <c r="B795" s="1">
        <v>43152</v>
      </c>
      <c r="C795" t="s">
        <v>1492</v>
      </c>
      <c r="D795" t="str">
        <f>CONCATENATE("0070024416","")</f>
        <v>0070024416</v>
      </c>
      <c r="E795" t="str">
        <f>CONCATENATE("0130201004329       ","")</f>
        <v>0130201004329       </v>
      </c>
      <c r="F795" t="str">
        <f>CONCATENATE("607634651","")</f>
        <v>607634651</v>
      </c>
      <c r="G795" t="s">
        <v>1550</v>
      </c>
      <c r="H795" t="s">
        <v>1558</v>
      </c>
      <c r="I795" t="s">
        <v>1559</v>
      </c>
      <c r="J795" t="str">
        <f t="shared" si="99"/>
        <v>081302</v>
      </c>
      <c r="K795" t="s">
        <v>22</v>
      </c>
      <c r="L795" t="s">
        <v>23</v>
      </c>
      <c r="M795" t="str">
        <f>CONCATENATE("3","")</f>
        <v>3</v>
      </c>
      <c r="O795" t="str">
        <f t="shared" si="98"/>
        <v>1 </v>
      </c>
      <c r="P795">
        <v>121.9</v>
      </c>
      <c r="Q795" t="s">
        <v>51</v>
      </c>
    </row>
    <row r="796" spans="1:17" ht="15">
      <c r="A796" t="s">
        <v>17</v>
      </c>
      <c r="B796" s="1">
        <v>43152</v>
      </c>
      <c r="C796" t="s">
        <v>1492</v>
      </c>
      <c r="D796" t="str">
        <f>CONCATENATE("0070007864","")</f>
        <v>0070007864</v>
      </c>
      <c r="E796" t="str">
        <f>CONCATENATE("0130201004332       ","")</f>
        <v>0130201004332       </v>
      </c>
      <c r="F796" t="str">
        <f>CONCATENATE("1937952","")</f>
        <v>1937952</v>
      </c>
      <c r="G796" t="s">
        <v>1560</v>
      </c>
      <c r="H796" t="s">
        <v>1561</v>
      </c>
      <c r="I796" t="s">
        <v>1562</v>
      </c>
      <c r="J796" t="str">
        <f t="shared" si="99"/>
        <v>081302</v>
      </c>
      <c r="K796" t="s">
        <v>22</v>
      </c>
      <c r="L796" t="s">
        <v>23</v>
      </c>
      <c r="M796" t="str">
        <f aca="true" t="shared" si="100" ref="M796:M804">CONCATENATE("1","")</f>
        <v>1</v>
      </c>
      <c r="O796" t="str">
        <f t="shared" si="98"/>
        <v>1 </v>
      </c>
      <c r="P796">
        <v>73.45</v>
      </c>
      <c r="Q796" t="s">
        <v>24</v>
      </c>
    </row>
    <row r="797" spans="1:17" ht="15">
      <c r="A797" t="s">
        <v>17</v>
      </c>
      <c r="B797" s="1">
        <v>43152</v>
      </c>
      <c r="C797" t="s">
        <v>1492</v>
      </c>
      <c r="D797" t="str">
        <f>CONCATENATE("0070013641","")</f>
        <v>0070013641</v>
      </c>
      <c r="E797" t="str">
        <f>CONCATENATE("0130201004502       ","")</f>
        <v>0130201004502       </v>
      </c>
      <c r="F797" t="str">
        <f>CONCATENATE("2128800","")</f>
        <v>2128800</v>
      </c>
      <c r="G797" t="s">
        <v>1560</v>
      </c>
      <c r="H797" t="s">
        <v>1563</v>
      </c>
      <c r="I797" t="s">
        <v>1564</v>
      </c>
      <c r="J797" t="str">
        <f t="shared" si="99"/>
        <v>081302</v>
      </c>
      <c r="K797" t="s">
        <v>22</v>
      </c>
      <c r="L797" t="s">
        <v>23</v>
      </c>
      <c r="M797" t="str">
        <f t="shared" si="100"/>
        <v>1</v>
      </c>
      <c r="O797" t="str">
        <f t="shared" si="98"/>
        <v>1 </v>
      </c>
      <c r="P797">
        <v>15.6</v>
      </c>
      <c r="Q797" t="s">
        <v>24</v>
      </c>
    </row>
    <row r="798" spans="1:17" ht="15">
      <c r="A798" t="s">
        <v>17</v>
      </c>
      <c r="B798" s="1">
        <v>43152</v>
      </c>
      <c r="C798" t="s">
        <v>1492</v>
      </c>
      <c r="D798" t="str">
        <f>CONCATENATE("0070027555","")</f>
        <v>0070027555</v>
      </c>
      <c r="E798" t="str">
        <f>CONCATENATE("0130201004526       ","")</f>
        <v>0130201004526       </v>
      </c>
      <c r="F798" t="str">
        <f>CONCATENATE("607295526","")</f>
        <v>607295526</v>
      </c>
      <c r="G798" t="s">
        <v>1560</v>
      </c>
      <c r="H798" t="s">
        <v>1565</v>
      </c>
      <c r="I798" t="s">
        <v>1566</v>
      </c>
      <c r="J798" t="str">
        <f t="shared" si="99"/>
        <v>081302</v>
      </c>
      <c r="K798" t="s">
        <v>22</v>
      </c>
      <c r="L798" t="s">
        <v>23</v>
      </c>
      <c r="M798" t="str">
        <f t="shared" si="100"/>
        <v>1</v>
      </c>
      <c r="O798" t="str">
        <f t="shared" si="98"/>
        <v>1 </v>
      </c>
      <c r="P798">
        <v>35.75</v>
      </c>
      <c r="Q798" t="s">
        <v>24</v>
      </c>
    </row>
    <row r="799" spans="1:17" ht="15">
      <c r="A799" t="s">
        <v>17</v>
      </c>
      <c r="B799" s="1">
        <v>43152</v>
      </c>
      <c r="C799" t="s">
        <v>1492</v>
      </c>
      <c r="D799" t="str">
        <f>CONCATENATE("0070027258","")</f>
        <v>0070027258</v>
      </c>
      <c r="E799" t="str">
        <f>CONCATENATE("0130201004529       ","")</f>
        <v>0130201004529       </v>
      </c>
      <c r="F799" t="str">
        <f>CONCATENATE("606903452","")</f>
        <v>606903452</v>
      </c>
      <c r="G799" t="s">
        <v>1567</v>
      </c>
      <c r="H799" t="s">
        <v>1568</v>
      </c>
      <c r="I799" t="s">
        <v>1569</v>
      </c>
      <c r="J799" t="str">
        <f t="shared" si="99"/>
        <v>081302</v>
      </c>
      <c r="K799" t="s">
        <v>22</v>
      </c>
      <c r="L799" t="s">
        <v>23</v>
      </c>
      <c r="M799" t="str">
        <f t="shared" si="100"/>
        <v>1</v>
      </c>
      <c r="O799" t="str">
        <f t="shared" si="98"/>
        <v>1 </v>
      </c>
      <c r="P799">
        <v>12.3</v>
      </c>
      <c r="Q799" t="s">
        <v>24</v>
      </c>
    </row>
    <row r="800" spans="1:17" ht="15">
      <c r="A800" t="s">
        <v>17</v>
      </c>
      <c r="B800" s="1">
        <v>43152</v>
      </c>
      <c r="C800" t="s">
        <v>1492</v>
      </c>
      <c r="D800" t="str">
        <f>CONCATENATE("0070007873","")</f>
        <v>0070007873</v>
      </c>
      <c r="E800" t="str">
        <f>CONCATENATE("0130201004542       ","")</f>
        <v>0130201004542       </v>
      </c>
      <c r="F800" t="str">
        <f>CONCATENATE("1937957","")</f>
        <v>1937957</v>
      </c>
      <c r="G800" t="s">
        <v>1560</v>
      </c>
      <c r="H800" t="s">
        <v>1570</v>
      </c>
      <c r="I800" t="s">
        <v>1562</v>
      </c>
      <c r="J800" t="str">
        <f t="shared" si="99"/>
        <v>081302</v>
      </c>
      <c r="K800" t="s">
        <v>22</v>
      </c>
      <c r="L800" t="s">
        <v>23</v>
      </c>
      <c r="M800" t="str">
        <f t="shared" si="100"/>
        <v>1</v>
      </c>
      <c r="O800" t="str">
        <f t="shared" si="98"/>
        <v>1 </v>
      </c>
      <c r="P800">
        <v>100.7</v>
      </c>
      <c r="Q800" t="s">
        <v>24</v>
      </c>
    </row>
    <row r="801" spans="1:17" ht="15">
      <c r="A801" t="s">
        <v>17</v>
      </c>
      <c r="B801" s="1">
        <v>43152</v>
      </c>
      <c r="C801" t="s">
        <v>1492</v>
      </c>
      <c r="D801" t="str">
        <f>CONCATENATE("0070023168","")</f>
        <v>0070023168</v>
      </c>
      <c r="E801" t="str">
        <f>CONCATENATE("0130201004579       ","")</f>
        <v>0130201004579       </v>
      </c>
      <c r="F801" t="str">
        <f>CONCATENATE("606591094","")</f>
        <v>606591094</v>
      </c>
      <c r="G801" t="s">
        <v>1560</v>
      </c>
      <c r="H801" t="s">
        <v>1571</v>
      </c>
      <c r="I801" t="s">
        <v>1572</v>
      </c>
      <c r="J801" t="str">
        <f t="shared" si="99"/>
        <v>081302</v>
      </c>
      <c r="K801" t="s">
        <v>22</v>
      </c>
      <c r="L801" t="s">
        <v>23</v>
      </c>
      <c r="M801" t="str">
        <f t="shared" si="100"/>
        <v>1</v>
      </c>
      <c r="O801" t="str">
        <f t="shared" si="98"/>
        <v>1 </v>
      </c>
      <c r="P801">
        <v>102.6</v>
      </c>
      <c r="Q801" t="s">
        <v>24</v>
      </c>
    </row>
    <row r="802" spans="1:17" ht="15">
      <c r="A802" t="s">
        <v>17</v>
      </c>
      <c r="B802" s="1">
        <v>43152</v>
      </c>
      <c r="C802" t="s">
        <v>1492</v>
      </c>
      <c r="D802" t="str">
        <f>CONCATENATE("0070007882","")</f>
        <v>0070007882</v>
      </c>
      <c r="E802" t="str">
        <f>CONCATENATE("0130201004598       ","")</f>
        <v>0130201004598       </v>
      </c>
      <c r="F802" t="str">
        <f>CONCATENATE("607442272","")</f>
        <v>607442272</v>
      </c>
      <c r="G802" t="s">
        <v>1560</v>
      </c>
      <c r="H802" t="s">
        <v>1573</v>
      </c>
      <c r="I802" t="s">
        <v>1574</v>
      </c>
      <c r="J802" t="str">
        <f t="shared" si="99"/>
        <v>081302</v>
      </c>
      <c r="K802" t="s">
        <v>22</v>
      </c>
      <c r="L802" t="s">
        <v>23</v>
      </c>
      <c r="M802" t="str">
        <f t="shared" si="100"/>
        <v>1</v>
      </c>
      <c r="O802" t="str">
        <f t="shared" si="98"/>
        <v>1 </v>
      </c>
      <c r="P802">
        <v>20.45</v>
      </c>
      <c r="Q802" t="s">
        <v>24</v>
      </c>
    </row>
    <row r="803" spans="1:17" ht="15">
      <c r="A803" t="s">
        <v>17</v>
      </c>
      <c r="B803" s="1">
        <v>43152</v>
      </c>
      <c r="C803" t="s">
        <v>1492</v>
      </c>
      <c r="D803" t="str">
        <f>CONCATENATE("0070007893","")</f>
        <v>0070007893</v>
      </c>
      <c r="E803" t="str">
        <f>CONCATENATE("0130201004628       ","")</f>
        <v>0130201004628       </v>
      </c>
      <c r="F803" t="str">
        <f>CONCATENATE("606898019","")</f>
        <v>606898019</v>
      </c>
      <c r="G803" t="s">
        <v>1567</v>
      </c>
      <c r="H803" t="s">
        <v>1575</v>
      </c>
      <c r="I803" t="s">
        <v>1576</v>
      </c>
      <c r="J803" t="str">
        <f t="shared" si="99"/>
        <v>081302</v>
      </c>
      <c r="K803" t="s">
        <v>22</v>
      </c>
      <c r="L803" t="s">
        <v>23</v>
      </c>
      <c r="M803" t="str">
        <f t="shared" si="100"/>
        <v>1</v>
      </c>
      <c r="O803" t="str">
        <f t="shared" si="98"/>
        <v>1 </v>
      </c>
      <c r="P803">
        <v>76.8</v>
      </c>
      <c r="Q803" t="s">
        <v>24</v>
      </c>
    </row>
    <row r="804" spans="1:17" ht="15">
      <c r="A804" t="s">
        <v>17</v>
      </c>
      <c r="B804" s="1">
        <v>43152</v>
      </c>
      <c r="C804" t="s">
        <v>1492</v>
      </c>
      <c r="D804" t="str">
        <f>CONCATENATE("0070013306","")</f>
        <v>0070013306</v>
      </c>
      <c r="E804" t="str">
        <f>CONCATENATE("0130201004724       ","")</f>
        <v>0130201004724       </v>
      </c>
      <c r="F804" t="str">
        <f>CONCATENATE("607542020","")</f>
        <v>607542020</v>
      </c>
      <c r="G804" t="s">
        <v>1560</v>
      </c>
      <c r="H804" t="s">
        <v>1577</v>
      </c>
      <c r="I804" t="s">
        <v>1578</v>
      </c>
      <c r="J804" t="str">
        <f t="shared" si="99"/>
        <v>081302</v>
      </c>
      <c r="K804" t="s">
        <v>22</v>
      </c>
      <c r="L804" t="s">
        <v>23</v>
      </c>
      <c r="M804" t="str">
        <f t="shared" si="100"/>
        <v>1</v>
      </c>
      <c r="O804" t="str">
        <f t="shared" si="98"/>
        <v>1 </v>
      </c>
      <c r="P804">
        <v>27.45</v>
      </c>
      <c r="Q804" t="s">
        <v>24</v>
      </c>
    </row>
    <row r="805" spans="1:17" ht="15">
      <c r="A805" t="s">
        <v>17</v>
      </c>
      <c r="B805" s="1">
        <v>43152</v>
      </c>
      <c r="C805" t="s">
        <v>1492</v>
      </c>
      <c r="D805" t="str">
        <f>CONCATENATE("0070025061","")</f>
        <v>0070025061</v>
      </c>
      <c r="E805" t="str">
        <f>CONCATENATE("0130201004746       ","")</f>
        <v>0130201004746       </v>
      </c>
      <c r="F805" t="str">
        <f>CONCATENATE("608050757","")</f>
        <v>608050757</v>
      </c>
      <c r="G805" t="s">
        <v>1560</v>
      </c>
      <c r="H805" t="s">
        <v>1579</v>
      </c>
      <c r="I805" t="s">
        <v>1580</v>
      </c>
      <c r="J805" t="str">
        <f t="shared" si="99"/>
        <v>081302</v>
      </c>
      <c r="K805" t="s">
        <v>22</v>
      </c>
      <c r="L805" t="s">
        <v>23</v>
      </c>
      <c r="M805" t="str">
        <f>CONCATENATE("3","")</f>
        <v>3</v>
      </c>
      <c r="O805" t="str">
        <f t="shared" si="98"/>
        <v>1 </v>
      </c>
      <c r="P805">
        <v>31.25</v>
      </c>
      <c r="Q805" t="s">
        <v>51</v>
      </c>
    </row>
    <row r="806" spans="1:17" ht="15">
      <c r="A806" t="s">
        <v>17</v>
      </c>
      <c r="B806" s="1">
        <v>43152</v>
      </c>
      <c r="C806" t="s">
        <v>1492</v>
      </c>
      <c r="D806" t="str">
        <f>CONCATENATE("0070007919","")</f>
        <v>0070007919</v>
      </c>
      <c r="E806" t="str">
        <f>CONCATENATE("0130201004756       ","")</f>
        <v>0130201004756       </v>
      </c>
      <c r="F806" t="str">
        <f>CONCATENATE("606744515","")</f>
        <v>606744515</v>
      </c>
      <c r="G806" t="s">
        <v>1560</v>
      </c>
      <c r="H806" t="s">
        <v>1581</v>
      </c>
      <c r="I806" t="s">
        <v>1576</v>
      </c>
      <c r="J806" t="str">
        <f t="shared" si="99"/>
        <v>081302</v>
      </c>
      <c r="K806" t="s">
        <v>22</v>
      </c>
      <c r="L806" t="s">
        <v>23</v>
      </c>
      <c r="M806" t="str">
        <f aca="true" t="shared" si="101" ref="M806:M821">CONCATENATE("1","")</f>
        <v>1</v>
      </c>
      <c r="O806" t="str">
        <f t="shared" si="98"/>
        <v>1 </v>
      </c>
      <c r="P806">
        <v>16.25</v>
      </c>
      <c r="Q806" t="s">
        <v>24</v>
      </c>
    </row>
    <row r="807" spans="1:17" ht="15">
      <c r="A807" t="s">
        <v>17</v>
      </c>
      <c r="B807" s="1">
        <v>43152</v>
      </c>
      <c r="C807" t="s">
        <v>1492</v>
      </c>
      <c r="D807" t="str">
        <f>CONCATENATE("0070027140","")</f>
        <v>0070027140</v>
      </c>
      <c r="E807" t="str">
        <f>CONCATENATE("0130201004794       ","")</f>
        <v>0130201004794       </v>
      </c>
      <c r="F807" t="str">
        <f>CONCATENATE("606896325","")</f>
        <v>606896325</v>
      </c>
      <c r="G807" t="s">
        <v>1582</v>
      </c>
      <c r="H807" t="s">
        <v>1583</v>
      </c>
      <c r="I807" t="s">
        <v>1584</v>
      </c>
      <c r="J807" t="str">
        <f t="shared" si="99"/>
        <v>081302</v>
      </c>
      <c r="K807" t="s">
        <v>22</v>
      </c>
      <c r="L807" t="s">
        <v>23</v>
      </c>
      <c r="M807" t="str">
        <f t="shared" si="101"/>
        <v>1</v>
      </c>
      <c r="O807" t="str">
        <f t="shared" si="98"/>
        <v>1 </v>
      </c>
      <c r="P807">
        <v>12.15</v>
      </c>
      <c r="Q807" t="s">
        <v>24</v>
      </c>
    </row>
    <row r="808" spans="1:17" ht="15">
      <c r="A808" t="s">
        <v>17</v>
      </c>
      <c r="B808" s="1">
        <v>43152</v>
      </c>
      <c r="C808" t="s">
        <v>1492</v>
      </c>
      <c r="D808" t="str">
        <f>CONCATENATE("0070011540","")</f>
        <v>0070011540</v>
      </c>
      <c r="E808" t="str">
        <f>CONCATENATE("0130201004842       ","")</f>
        <v>0130201004842       </v>
      </c>
      <c r="F808" t="str">
        <f>CONCATENATE("606086256","")</f>
        <v>606086256</v>
      </c>
      <c r="G808" t="s">
        <v>1493</v>
      </c>
      <c r="H808" t="s">
        <v>1585</v>
      </c>
      <c r="I808" t="s">
        <v>1586</v>
      </c>
      <c r="J808" t="str">
        <f t="shared" si="99"/>
        <v>081302</v>
      </c>
      <c r="K808" t="s">
        <v>22</v>
      </c>
      <c r="L808" t="s">
        <v>23</v>
      </c>
      <c r="M808" t="str">
        <f t="shared" si="101"/>
        <v>1</v>
      </c>
      <c r="O808" t="str">
        <f t="shared" si="98"/>
        <v>1 </v>
      </c>
      <c r="P808">
        <v>65.35</v>
      </c>
      <c r="Q808" t="s">
        <v>24</v>
      </c>
    </row>
    <row r="809" spans="1:17" ht="15">
      <c r="A809" t="s">
        <v>17</v>
      </c>
      <c r="B809" s="1">
        <v>43152</v>
      </c>
      <c r="C809" t="s">
        <v>1492</v>
      </c>
      <c r="D809" t="str">
        <f>CONCATENATE("0070007937","")</f>
        <v>0070007937</v>
      </c>
      <c r="E809" t="str">
        <f>CONCATENATE("0130201004843       ","")</f>
        <v>0130201004843       </v>
      </c>
      <c r="F809" t="str">
        <f>CONCATENATE("606898013","")</f>
        <v>606898013</v>
      </c>
      <c r="G809" t="s">
        <v>1560</v>
      </c>
      <c r="H809" t="s">
        <v>1587</v>
      </c>
      <c r="I809" t="s">
        <v>1588</v>
      </c>
      <c r="J809" t="str">
        <f t="shared" si="99"/>
        <v>081302</v>
      </c>
      <c r="K809" t="s">
        <v>22</v>
      </c>
      <c r="L809" t="s">
        <v>23</v>
      </c>
      <c r="M809" t="str">
        <f t="shared" si="101"/>
        <v>1</v>
      </c>
      <c r="O809" t="str">
        <f t="shared" si="98"/>
        <v>1 </v>
      </c>
      <c r="P809">
        <v>278.85</v>
      </c>
      <c r="Q809" t="s">
        <v>24</v>
      </c>
    </row>
    <row r="810" spans="1:17" ht="15">
      <c r="A810" t="s">
        <v>17</v>
      </c>
      <c r="B810" s="1">
        <v>43152</v>
      </c>
      <c r="C810" t="s">
        <v>1492</v>
      </c>
      <c r="D810" t="str">
        <f>CONCATENATE("0070016019","")</f>
        <v>0070016019</v>
      </c>
      <c r="E810" t="str">
        <f>CONCATENATE("0130201004854       ","")</f>
        <v>0130201004854       </v>
      </c>
      <c r="F810" t="str">
        <f>CONCATENATE("605087906","")</f>
        <v>605087906</v>
      </c>
      <c r="G810" t="s">
        <v>1493</v>
      </c>
      <c r="H810" t="s">
        <v>1589</v>
      </c>
      <c r="I810" t="s">
        <v>1590</v>
      </c>
      <c r="J810" t="str">
        <f t="shared" si="99"/>
        <v>081302</v>
      </c>
      <c r="K810" t="s">
        <v>22</v>
      </c>
      <c r="L810" t="s">
        <v>23</v>
      </c>
      <c r="M810" t="str">
        <f t="shared" si="101"/>
        <v>1</v>
      </c>
      <c r="O810" t="str">
        <f t="shared" si="98"/>
        <v>1 </v>
      </c>
      <c r="P810">
        <v>32.7</v>
      </c>
      <c r="Q810" t="s">
        <v>24</v>
      </c>
    </row>
    <row r="811" spans="1:17" ht="15">
      <c r="A811" t="s">
        <v>17</v>
      </c>
      <c r="B811" s="1">
        <v>43152</v>
      </c>
      <c r="C811" t="s">
        <v>1492</v>
      </c>
      <c r="D811" t="str">
        <f>CONCATENATE("0070007960","")</f>
        <v>0070007960</v>
      </c>
      <c r="E811" t="str">
        <f>CONCATENATE("0130202001220       ","")</f>
        <v>0130202001220       </v>
      </c>
      <c r="F811" t="str">
        <f>CONCATENATE("605232062","")</f>
        <v>605232062</v>
      </c>
      <c r="G811" t="s">
        <v>1591</v>
      </c>
      <c r="H811" t="s">
        <v>1592</v>
      </c>
      <c r="I811" t="s">
        <v>1593</v>
      </c>
      <c r="J811" t="str">
        <f t="shared" si="99"/>
        <v>081302</v>
      </c>
      <c r="K811" t="s">
        <v>22</v>
      </c>
      <c r="L811" t="s">
        <v>23</v>
      </c>
      <c r="M811" t="str">
        <f t="shared" si="101"/>
        <v>1</v>
      </c>
      <c r="O811" t="str">
        <f t="shared" si="98"/>
        <v>1 </v>
      </c>
      <c r="P811">
        <v>23.15</v>
      </c>
      <c r="Q811" t="s">
        <v>24</v>
      </c>
    </row>
    <row r="812" spans="1:17" ht="15">
      <c r="A812" t="s">
        <v>17</v>
      </c>
      <c r="B812" s="1">
        <v>43152</v>
      </c>
      <c r="C812" t="s">
        <v>1492</v>
      </c>
      <c r="D812" t="str">
        <f>CONCATENATE("0070016256","")</f>
        <v>0070016256</v>
      </c>
      <c r="E812" t="str">
        <f>CONCATENATE("0130202001392       ","")</f>
        <v>0130202001392       </v>
      </c>
      <c r="F812" t="str">
        <f>CONCATENATE("605279281","")</f>
        <v>605279281</v>
      </c>
      <c r="G812" t="s">
        <v>1591</v>
      </c>
      <c r="H812" t="s">
        <v>1594</v>
      </c>
      <c r="I812" t="s">
        <v>1595</v>
      </c>
      <c r="J812" t="str">
        <f t="shared" si="99"/>
        <v>081302</v>
      </c>
      <c r="K812" t="s">
        <v>22</v>
      </c>
      <c r="L812" t="s">
        <v>23</v>
      </c>
      <c r="M812" t="str">
        <f t="shared" si="101"/>
        <v>1</v>
      </c>
      <c r="O812" t="str">
        <f>CONCATENATE("2 ","")</f>
        <v>2 </v>
      </c>
      <c r="P812">
        <v>54.9</v>
      </c>
      <c r="Q812" t="s">
        <v>24</v>
      </c>
    </row>
    <row r="813" spans="1:17" ht="15">
      <c r="A813" t="s">
        <v>17</v>
      </c>
      <c r="B813" s="1">
        <v>43152</v>
      </c>
      <c r="C813" t="s">
        <v>1492</v>
      </c>
      <c r="D813" t="str">
        <f>CONCATENATE("0070013685","")</f>
        <v>0070013685</v>
      </c>
      <c r="E813" t="str">
        <f>CONCATENATE("0130202002025       ","")</f>
        <v>0130202002025       </v>
      </c>
      <c r="F813" t="str">
        <f>CONCATENATE("606851772","")</f>
        <v>606851772</v>
      </c>
      <c r="G813" t="s">
        <v>1591</v>
      </c>
      <c r="H813" t="s">
        <v>1596</v>
      </c>
      <c r="I813" t="s">
        <v>1597</v>
      </c>
      <c r="J813" t="str">
        <f t="shared" si="99"/>
        <v>081302</v>
      </c>
      <c r="K813" t="s">
        <v>22</v>
      </c>
      <c r="L813" t="s">
        <v>23</v>
      </c>
      <c r="M813" t="str">
        <f t="shared" si="101"/>
        <v>1</v>
      </c>
      <c r="O813" t="str">
        <f>CONCATENATE("1 ","")</f>
        <v>1 </v>
      </c>
      <c r="P813">
        <v>105.45</v>
      </c>
      <c r="Q813" t="s">
        <v>24</v>
      </c>
    </row>
    <row r="814" spans="1:17" ht="15">
      <c r="A814" t="s">
        <v>17</v>
      </c>
      <c r="B814" s="1">
        <v>43152</v>
      </c>
      <c r="C814" t="s">
        <v>1492</v>
      </c>
      <c r="D814" t="str">
        <f>CONCATENATE("0070018336","")</f>
        <v>0070018336</v>
      </c>
      <c r="E814" t="str">
        <f>CONCATENATE("0130202002275       ","")</f>
        <v>0130202002275       </v>
      </c>
      <c r="F814" t="str">
        <f>CONCATENATE("605622240","")</f>
        <v>605622240</v>
      </c>
      <c r="G814" t="s">
        <v>1591</v>
      </c>
      <c r="H814" t="s">
        <v>1598</v>
      </c>
      <c r="I814" t="s">
        <v>1599</v>
      </c>
      <c r="J814" t="str">
        <f t="shared" si="99"/>
        <v>081302</v>
      </c>
      <c r="K814" t="s">
        <v>22</v>
      </c>
      <c r="L814" t="s">
        <v>23</v>
      </c>
      <c r="M814" t="str">
        <f t="shared" si="101"/>
        <v>1</v>
      </c>
      <c r="O814" t="str">
        <f>CONCATENATE("3 ","")</f>
        <v>3 </v>
      </c>
      <c r="P814">
        <v>23.7</v>
      </c>
      <c r="Q814" t="s">
        <v>24</v>
      </c>
    </row>
    <row r="815" spans="1:17" ht="15">
      <c r="A815" t="s">
        <v>17</v>
      </c>
      <c r="B815" s="1">
        <v>43152</v>
      </c>
      <c r="C815" t="s">
        <v>1492</v>
      </c>
      <c r="D815" t="str">
        <f>CONCATENATE("0070014657","")</f>
        <v>0070014657</v>
      </c>
      <c r="E815" t="str">
        <f>CONCATENATE("0130202002330       ","")</f>
        <v>0130202002330       </v>
      </c>
      <c r="F815" t="str">
        <f>CONCATENATE("606744522","")</f>
        <v>606744522</v>
      </c>
      <c r="G815" t="s">
        <v>1591</v>
      </c>
      <c r="H815" t="s">
        <v>1600</v>
      </c>
      <c r="I815" t="s">
        <v>1601</v>
      </c>
      <c r="J815" t="str">
        <f t="shared" si="99"/>
        <v>081302</v>
      </c>
      <c r="K815" t="s">
        <v>22</v>
      </c>
      <c r="L815" t="s">
        <v>23</v>
      </c>
      <c r="M815" t="str">
        <f t="shared" si="101"/>
        <v>1</v>
      </c>
      <c r="O815" t="str">
        <f>CONCATENATE("1 ","")</f>
        <v>1 </v>
      </c>
      <c r="P815">
        <v>50.3</v>
      </c>
      <c r="Q815" t="s">
        <v>24</v>
      </c>
    </row>
    <row r="816" spans="1:17" ht="15">
      <c r="A816" t="s">
        <v>17</v>
      </c>
      <c r="B816" s="1">
        <v>43152</v>
      </c>
      <c r="C816" t="s">
        <v>1492</v>
      </c>
      <c r="D816" t="str">
        <f>CONCATENATE("0070008005","")</f>
        <v>0070008005</v>
      </c>
      <c r="E816" t="str">
        <f>CONCATENATE("0130203000055       ","")</f>
        <v>0130203000055       </v>
      </c>
      <c r="F816" t="str">
        <f>CONCATENATE("606930199","")</f>
        <v>606930199</v>
      </c>
      <c r="G816" t="s">
        <v>1602</v>
      </c>
      <c r="H816" t="s">
        <v>1603</v>
      </c>
      <c r="I816" t="s">
        <v>1604</v>
      </c>
      <c r="J816" t="str">
        <f t="shared" si="99"/>
        <v>081302</v>
      </c>
      <c r="K816" t="s">
        <v>22</v>
      </c>
      <c r="L816" t="s">
        <v>23</v>
      </c>
      <c r="M816" t="str">
        <f t="shared" si="101"/>
        <v>1</v>
      </c>
      <c r="O816" t="str">
        <f>CONCATENATE("1 ","")</f>
        <v>1 </v>
      </c>
      <c r="P816">
        <v>24.15</v>
      </c>
      <c r="Q816" t="s">
        <v>24</v>
      </c>
    </row>
    <row r="817" spans="1:17" ht="15">
      <c r="A817" t="s">
        <v>17</v>
      </c>
      <c r="B817" s="1">
        <v>43152</v>
      </c>
      <c r="C817" t="s">
        <v>1492</v>
      </c>
      <c r="D817" t="str">
        <f>CONCATENATE("0070008011","")</f>
        <v>0070008011</v>
      </c>
      <c r="E817" t="str">
        <f>CONCATENATE("0130203000120       ","")</f>
        <v>0130203000120       </v>
      </c>
      <c r="F817" t="str">
        <f>CONCATENATE("2129188","")</f>
        <v>2129188</v>
      </c>
      <c r="G817" t="s">
        <v>1602</v>
      </c>
      <c r="H817" t="s">
        <v>1605</v>
      </c>
      <c r="I817" t="s">
        <v>1606</v>
      </c>
      <c r="J817" t="str">
        <f t="shared" si="99"/>
        <v>081302</v>
      </c>
      <c r="K817" t="s">
        <v>22</v>
      </c>
      <c r="L817" t="s">
        <v>23</v>
      </c>
      <c r="M817" t="str">
        <f t="shared" si="101"/>
        <v>1</v>
      </c>
      <c r="O817" t="str">
        <f>CONCATENATE("1 ","")</f>
        <v>1 </v>
      </c>
      <c r="P817">
        <v>32.4</v>
      </c>
      <c r="Q817" t="s">
        <v>24</v>
      </c>
    </row>
    <row r="818" spans="1:17" ht="15">
      <c r="A818" t="s">
        <v>17</v>
      </c>
      <c r="B818" s="1">
        <v>43152</v>
      </c>
      <c r="C818" t="s">
        <v>1492</v>
      </c>
      <c r="D818" t="str">
        <f>CONCATENATE("0070008018","")</f>
        <v>0070008018</v>
      </c>
      <c r="E818" t="str">
        <f>CONCATENATE("0130203000190       ","")</f>
        <v>0130203000190       </v>
      </c>
      <c r="F818" t="str">
        <f>CONCATENATE("606930185","")</f>
        <v>606930185</v>
      </c>
      <c r="G818" t="s">
        <v>1602</v>
      </c>
      <c r="H818" t="s">
        <v>1607</v>
      </c>
      <c r="I818" t="s">
        <v>1606</v>
      </c>
      <c r="J818" t="str">
        <f t="shared" si="99"/>
        <v>081302</v>
      </c>
      <c r="K818" t="s">
        <v>22</v>
      </c>
      <c r="L818" t="s">
        <v>23</v>
      </c>
      <c r="M818" t="str">
        <f t="shared" si="101"/>
        <v>1</v>
      </c>
      <c r="O818" t="str">
        <f>CONCATENATE("1 ","")</f>
        <v>1 </v>
      </c>
      <c r="P818">
        <v>21.4</v>
      </c>
      <c r="Q818" t="s">
        <v>24</v>
      </c>
    </row>
    <row r="819" spans="1:17" ht="15">
      <c r="A819" t="s">
        <v>17</v>
      </c>
      <c r="B819" s="1">
        <v>43152</v>
      </c>
      <c r="C819" t="s">
        <v>1492</v>
      </c>
      <c r="D819" t="str">
        <f>CONCATENATE("0070013415","")</f>
        <v>0070013415</v>
      </c>
      <c r="E819" t="str">
        <f>CONCATENATE("0130203000350       ","")</f>
        <v>0130203000350       </v>
      </c>
      <c r="F819" t="str">
        <f>CONCATENATE("2128785","")</f>
        <v>2128785</v>
      </c>
      <c r="G819" t="s">
        <v>1602</v>
      </c>
      <c r="H819" t="s">
        <v>1608</v>
      </c>
      <c r="I819" t="s">
        <v>1609</v>
      </c>
      <c r="J819" t="str">
        <f t="shared" si="99"/>
        <v>081302</v>
      </c>
      <c r="K819" t="s">
        <v>22</v>
      </c>
      <c r="L819" t="s">
        <v>23</v>
      </c>
      <c r="M819" t="str">
        <f t="shared" si="101"/>
        <v>1</v>
      </c>
      <c r="O819" t="str">
        <f>CONCATENATE("1 ","")</f>
        <v>1 </v>
      </c>
      <c r="P819">
        <v>19.9</v>
      </c>
      <c r="Q819" t="s">
        <v>24</v>
      </c>
    </row>
    <row r="820" spans="1:17" ht="15">
      <c r="A820" t="s">
        <v>17</v>
      </c>
      <c r="B820" s="1">
        <v>43152</v>
      </c>
      <c r="C820" t="s">
        <v>1492</v>
      </c>
      <c r="D820" t="str">
        <f>CONCATENATE("0070023970","")</f>
        <v>0070023970</v>
      </c>
      <c r="E820" t="str">
        <f>CONCATENATE("0130204000015       ","")</f>
        <v>0130204000015       </v>
      </c>
      <c r="F820" t="str">
        <f>CONCATENATE("606755443","")</f>
        <v>606755443</v>
      </c>
      <c r="G820" t="s">
        <v>1610</v>
      </c>
      <c r="H820" t="s">
        <v>1611</v>
      </c>
      <c r="I820" t="s">
        <v>1612</v>
      </c>
      <c r="J820" t="str">
        <f t="shared" si="99"/>
        <v>081302</v>
      </c>
      <c r="K820" t="s">
        <v>22</v>
      </c>
      <c r="L820" t="s">
        <v>23</v>
      </c>
      <c r="M820" t="str">
        <f t="shared" si="101"/>
        <v>1</v>
      </c>
      <c r="O820" t="str">
        <f>CONCATENATE("4 ","")</f>
        <v>4 </v>
      </c>
      <c r="P820">
        <v>24.45</v>
      </c>
      <c r="Q820" t="s">
        <v>24</v>
      </c>
    </row>
    <row r="821" spans="1:17" ht="15">
      <c r="A821" t="s">
        <v>17</v>
      </c>
      <c r="B821" s="1">
        <v>43152</v>
      </c>
      <c r="C821" t="s">
        <v>1492</v>
      </c>
      <c r="D821" t="str">
        <f>CONCATENATE("0070020268","")</f>
        <v>0070020268</v>
      </c>
      <c r="E821" t="str">
        <f>CONCATENATE("0130207000190       ","")</f>
        <v>0130207000190       </v>
      </c>
      <c r="F821" t="str">
        <f>CONCATENATE("606033375","")</f>
        <v>606033375</v>
      </c>
      <c r="G821" t="s">
        <v>1613</v>
      </c>
      <c r="H821" t="s">
        <v>1614</v>
      </c>
      <c r="I821" t="s">
        <v>1615</v>
      </c>
      <c r="J821" t="str">
        <f t="shared" si="99"/>
        <v>081302</v>
      </c>
      <c r="K821" t="s">
        <v>22</v>
      </c>
      <c r="L821" t="s">
        <v>23</v>
      </c>
      <c r="M821" t="str">
        <f t="shared" si="101"/>
        <v>1</v>
      </c>
      <c r="O821" t="str">
        <f>CONCATENATE("1 ","")</f>
        <v>1 </v>
      </c>
      <c r="P821">
        <v>62.8</v>
      </c>
      <c r="Q821" t="s">
        <v>24</v>
      </c>
    </row>
    <row r="822" spans="1:17" ht="15">
      <c r="A822" t="s">
        <v>17</v>
      </c>
      <c r="B822" s="1">
        <v>43152</v>
      </c>
      <c r="C822" t="s">
        <v>1492</v>
      </c>
      <c r="D822" t="str">
        <f>CONCATENATE("0070025063","")</f>
        <v>0070025063</v>
      </c>
      <c r="E822" t="str">
        <f>CONCATENATE("0130208000510       ","")</f>
        <v>0130208000510       </v>
      </c>
      <c r="F822" t="str">
        <f>CONCATENATE("607430392","")</f>
        <v>607430392</v>
      </c>
      <c r="G822" t="s">
        <v>1567</v>
      </c>
      <c r="H822" t="s">
        <v>1616</v>
      </c>
      <c r="I822" t="s">
        <v>1617</v>
      </c>
      <c r="J822" t="str">
        <f t="shared" si="99"/>
        <v>081302</v>
      </c>
      <c r="K822" t="s">
        <v>22</v>
      </c>
      <c r="L822" t="s">
        <v>23</v>
      </c>
      <c r="M822" t="str">
        <f>CONCATENATE("4","")</f>
        <v>4</v>
      </c>
      <c r="O822" t="str">
        <f>CONCATENATE("1 ","")</f>
        <v>1 </v>
      </c>
      <c r="P822">
        <v>51.75</v>
      </c>
      <c r="Q822" t="s">
        <v>51</v>
      </c>
    </row>
    <row r="823" spans="1:17" ht="15">
      <c r="A823" t="s">
        <v>17</v>
      </c>
      <c r="B823" s="1">
        <v>43152</v>
      </c>
      <c r="C823" t="s">
        <v>1492</v>
      </c>
      <c r="D823" t="str">
        <f>CONCATENATE("0070024732","")</f>
        <v>0070024732</v>
      </c>
      <c r="E823" t="str">
        <f>CONCATENATE("0130208000595       ","")</f>
        <v>0130208000595       </v>
      </c>
      <c r="F823" t="str">
        <f>CONCATENATE("606855050","")</f>
        <v>606855050</v>
      </c>
      <c r="G823" t="s">
        <v>1567</v>
      </c>
      <c r="H823" t="s">
        <v>1618</v>
      </c>
      <c r="I823" t="s">
        <v>1619</v>
      </c>
      <c r="J823" t="str">
        <f t="shared" si="99"/>
        <v>081302</v>
      </c>
      <c r="K823" t="s">
        <v>22</v>
      </c>
      <c r="L823" t="s">
        <v>23</v>
      </c>
      <c r="M823" t="str">
        <f>CONCATENATE("1","")</f>
        <v>1</v>
      </c>
      <c r="O823" t="str">
        <f>CONCATENATE("1 ","")</f>
        <v>1 </v>
      </c>
      <c r="P823">
        <v>31.5</v>
      </c>
      <c r="Q823" t="s">
        <v>24</v>
      </c>
    </row>
    <row r="824" spans="1:17" ht="15">
      <c r="A824" t="s">
        <v>17</v>
      </c>
      <c r="B824" s="1">
        <v>43152</v>
      </c>
      <c r="C824" t="s">
        <v>1492</v>
      </c>
      <c r="D824" t="str">
        <f>CONCATENATE("0070020446","")</f>
        <v>0070020446</v>
      </c>
      <c r="E824" t="str">
        <f>CONCATENATE("0130208000600       ","")</f>
        <v>0130208000600       </v>
      </c>
      <c r="F824" t="str">
        <f>CONCATENATE("605931466","")</f>
        <v>605931466</v>
      </c>
      <c r="G824" t="s">
        <v>1560</v>
      </c>
      <c r="H824" t="s">
        <v>1620</v>
      </c>
      <c r="I824" t="s">
        <v>1621</v>
      </c>
      <c r="J824" t="str">
        <f t="shared" si="99"/>
        <v>081302</v>
      </c>
      <c r="K824" t="s">
        <v>22</v>
      </c>
      <c r="L824" t="s">
        <v>23</v>
      </c>
      <c r="M824" t="str">
        <f>CONCATENATE("1","")</f>
        <v>1</v>
      </c>
      <c r="O824" t="str">
        <f>CONCATENATE("1 ","")</f>
        <v>1 </v>
      </c>
      <c r="P824">
        <v>101.2</v>
      </c>
      <c r="Q824" t="s">
        <v>24</v>
      </c>
    </row>
    <row r="825" spans="1:17" ht="15">
      <c r="A825" t="s">
        <v>17</v>
      </c>
      <c r="B825" s="1">
        <v>43152</v>
      </c>
      <c r="C825" t="s">
        <v>1492</v>
      </c>
      <c r="D825" t="str">
        <f>CONCATENATE("0070023323","")</f>
        <v>0070023323</v>
      </c>
      <c r="E825" t="str">
        <f>CONCATENATE("0130209000360       ","")</f>
        <v>0130209000360       </v>
      </c>
      <c r="F825" t="str">
        <f>CONCATENATE("507031019","")</f>
        <v>507031019</v>
      </c>
      <c r="G825" t="s">
        <v>1582</v>
      </c>
      <c r="H825" t="s">
        <v>1622</v>
      </c>
      <c r="I825" t="s">
        <v>1623</v>
      </c>
      <c r="J825" t="str">
        <f t="shared" si="99"/>
        <v>081302</v>
      </c>
      <c r="K825" t="s">
        <v>22</v>
      </c>
      <c r="L825" t="s">
        <v>23</v>
      </c>
      <c r="M825" t="str">
        <f>CONCATENATE("3","")</f>
        <v>3</v>
      </c>
      <c r="O825" t="str">
        <f>CONCATENATE("2 ","")</f>
        <v>2 </v>
      </c>
      <c r="P825">
        <v>60.45</v>
      </c>
      <c r="Q825" t="s">
        <v>51</v>
      </c>
    </row>
    <row r="826" spans="1:17" ht="15">
      <c r="A826" t="s">
        <v>17</v>
      </c>
      <c r="B826" s="1">
        <v>43152</v>
      </c>
      <c r="C826" t="s">
        <v>1492</v>
      </c>
      <c r="D826" t="str">
        <f>CONCATENATE("0070020155","")</f>
        <v>0070020155</v>
      </c>
      <c r="E826" t="str">
        <f>CONCATENATE("0130209000540       ","")</f>
        <v>0130209000540       </v>
      </c>
      <c r="F826" t="str">
        <f>CONCATENATE("605931457","")</f>
        <v>605931457</v>
      </c>
      <c r="G826" t="s">
        <v>1582</v>
      </c>
      <c r="H826" t="s">
        <v>1624</v>
      </c>
      <c r="I826" t="s">
        <v>1625</v>
      </c>
      <c r="J826" t="str">
        <f aca="true" t="shared" si="102" ref="J826:J836">CONCATENATE("081302","")</f>
        <v>081302</v>
      </c>
      <c r="K826" t="s">
        <v>22</v>
      </c>
      <c r="L826" t="s">
        <v>23</v>
      </c>
      <c r="M826" t="str">
        <f>CONCATENATE("1","")</f>
        <v>1</v>
      </c>
      <c r="O826" t="str">
        <f>CONCATENATE("1 ","")</f>
        <v>1 </v>
      </c>
      <c r="P826">
        <v>295.85</v>
      </c>
      <c r="Q826" t="s">
        <v>24</v>
      </c>
    </row>
    <row r="827" spans="1:17" ht="15">
      <c r="A827" t="s">
        <v>17</v>
      </c>
      <c r="B827" s="1">
        <v>43152</v>
      </c>
      <c r="C827" t="s">
        <v>1492</v>
      </c>
      <c r="D827" t="str">
        <f>CONCATENATE("0070008049","")</f>
        <v>0070008049</v>
      </c>
      <c r="E827" t="str">
        <f>CONCATENATE("0130210000010       ","")</f>
        <v>0130210000010       </v>
      </c>
      <c r="F827" t="str">
        <f>CONCATENATE("606596625","")</f>
        <v>606596625</v>
      </c>
      <c r="G827" t="s">
        <v>1626</v>
      </c>
      <c r="H827" t="s">
        <v>1627</v>
      </c>
      <c r="I827" t="s">
        <v>1628</v>
      </c>
      <c r="J827" t="str">
        <f t="shared" si="102"/>
        <v>081302</v>
      </c>
      <c r="K827" t="s">
        <v>22</v>
      </c>
      <c r="L827" t="s">
        <v>23</v>
      </c>
      <c r="M827" t="str">
        <f>CONCATENATE("1","")</f>
        <v>1</v>
      </c>
      <c r="O827" t="str">
        <f>CONCATENATE("6 ","")</f>
        <v>6 </v>
      </c>
      <c r="P827">
        <v>44.9</v>
      </c>
      <c r="Q827" t="s">
        <v>24</v>
      </c>
    </row>
    <row r="828" spans="1:17" ht="15">
      <c r="A828" t="s">
        <v>17</v>
      </c>
      <c r="B828" s="1">
        <v>43152</v>
      </c>
      <c r="C828" t="s">
        <v>1492</v>
      </c>
      <c r="D828" t="str">
        <f>CONCATENATE("0070008055","")</f>
        <v>0070008055</v>
      </c>
      <c r="E828" t="str">
        <f>CONCATENATE("0130210000070       ","")</f>
        <v>0130210000070       </v>
      </c>
      <c r="F828" t="str">
        <f>CONCATENATE("2129197","")</f>
        <v>2129197</v>
      </c>
      <c r="G828" t="s">
        <v>1626</v>
      </c>
      <c r="H828" t="s">
        <v>1629</v>
      </c>
      <c r="I828" t="s">
        <v>1628</v>
      </c>
      <c r="J828" t="str">
        <f t="shared" si="102"/>
        <v>081302</v>
      </c>
      <c r="K828" t="s">
        <v>22</v>
      </c>
      <c r="L828" t="s">
        <v>23</v>
      </c>
      <c r="M828" t="str">
        <f>CONCATENATE("1","")</f>
        <v>1</v>
      </c>
      <c r="O828" t="str">
        <f aca="true" t="shared" si="103" ref="O828:O833">CONCATENATE("1 ","")</f>
        <v>1 </v>
      </c>
      <c r="P828">
        <v>26.55</v>
      </c>
      <c r="Q828" t="s">
        <v>24</v>
      </c>
    </row>
    <row r="829" spans="1:17" ht="15">
      <c r="A829" t="s">
        <v>17</v>
      </c>
      <c r="B829" s="1">
        <v>43152</v>
      </c>
      <c r="C829" t="s">
        <v>1492</v>
      </c>
      <c r="D829" t="str">
        <f>CONCATENATE("0070008057","")</f>
        <v>0070008057</v>
      </c>
      <c r="E829" t="str">
        <f>CONCATENATE("0130210000090       ","")</f>
        <v>0130210000090       </v>
      </c>
      <c r="F829" t="str">
        <f>CONCATENATE("606595632","")</f>
        <v>606595632</v>
      </c>
      <c r="G829" t="s">
        <v>1626</v>
      </c>
      <c r="H829" t="s">
        <v>1630</v>
      </c>
      <c r="I829" t="s">
        <v>1628</v>
      </c>
      <c r="J829" t="str">
        <f t="shared" si="102"/>
        <v>081302</v>
      </c>
      <c r="K829" t="s">
        <v>22</v>
      </c>
      <c r="L829" t="s">
        <v>23</v>
      </c>
      <c r="M829" t="str">
        <f>CONCATENATE("1","")</f>
        <v>1</v>
      </c>
      <c r="O829" t="str">
        <f t="shared" si="103"/>
        <v>1 </v>
      </c>
      <c r="P829">
        <v>48.8</v>
      </c>
      <c r="Q829" t="s">
        <v>24</v>
      </c>
    </row>
    <row r="830" spans="1:17" ht="15">
      <c r="A830" t="s">
        <v>17</v>
      </c>
      <c r="B830" s="1">
        <v>43152</v>
      </c>
      <c r="C830" t="s">
        <v>1492</v>
      </c>
      <c r="D830" t="str">
        <f>CONCATENATE("0070016031","")</f>
        <v>0070016031</v>
      </c>
      <c r="E830" t="str">
        <f>CONCATENATE("0130210000297       ","")</f>
        <v>0130210000297       </v>
      </c>
      <c r="F830" t="str">
        <f>CONCATENATE("607430982","")</f>
        <v>607430982</v>
      </c>
      <c r="G830" t="s">
        <v>1626</v>
      </c>
      <c r="H830" t="s">
        <v>1631</v>
      </c>
      <c r="I830" t="s">
        <v>1632</v>
      </c>
      <c r="J830" t="str">
        <f t="shared" si="102"/>
        <v>081302</v>
      </c>
      <c r="K830" t="s">
        <v>22</v>
      </c>
      <c r="L830" t="s">
        <v>23</v>
      </c>
      <c r="M830" t="str">
        <f>CONCATENATE("4","")</f>
        <v>4</v>
      </c>
      <c r="O830" t="str">
        <f t="shared" si="103"/>
        <v>1 </v>
      </c>
      <c r="P830">
        <v>92.8</v>
      </c>
      <c r="Q830" t="s">
        <v>51</v>
      </c>
    </row>
    <row r="831" spans="1:17" ht="15">
      <c r="A831" t="s">
        <v>17</v>
      </c>
      <c r="B831" s="1">
        <v>43152</v>
      </c>
      <c r="C831" t="s">
        <v>1492</v>
      </c>
      <c r="D831" t="str">
        <f>CONCATENATE("0070008081","")</f>
        <v>0070008081</v>
      </c>
      <c r="E831" t="str">
        <f>CONCATENATE("0130210000311       ","")</f>
        <v>0130210000311       </v>
      </c>
      <c r="F831" t="str">
        <f>CONCATENATE("607442979","")</f>
        <v>607442979</v>
      </c>
      <c r="G831" t="s">
        <v>1626</v>
      </c>
      <c r="H831" t="s">
        <v>1633</v>
      </c>
      <c r="I831" t="s">
        <v>1628</v>
      </c>
      <c r="J831" t="str">
        <f t="shared" si="102"/>
        <v>081302</v>
      </c>
      <c r="K831" t="s">
        <v>22</v>
      </c>
      <c r="L831" t="s">
        <v>23</v>
      </c>
      <c r="M831" t="str">
        <f aca="true" t="shared" si="104" ref="M831:M846">CONCATENATE("1","")</f>
        <v>1</v>
      </c>
      <c r="O831" t="str">
        <f t="shared" si="103"/>
        <v>1 </v>
      </c>
      <c r="P831">
        <v>25.55</v>
      </c>
      <c r="Q831" t="s">
        <v>24</v>
      </c>
    </row>
    <row r="832" spans="1:17" ht="15">
      <c r="A832" t="s">
        <v>17</v>
      </c>
      <c r="B832" s="1">
        <v>43152</v>
      </c>
      <c r="C832" t="s">
        <v>1492</v>
      </c>
      <c r="D832" t="str">
        <f>CONCATENATE("0070008099","")</f>
        <v>0070008099</v>
      </c>
      <c r="E832" t="str">
        <f>CONCATENATE("0130215000010       ","")</f>
        <v>0130215000010       </v>
      </c>
      <c r="F832" t="str">
        <f>CONCATENATE("1941373","")</f>
        <v>1941373</v>
      </c>
      <c r="G832" t="s">
        <v>1634</v>
      </c>
      <c r="H832" t="s">
        <v>1635</v>
      </c>
      <c r="I832" t="s">
        <v>1636</v>
      </c>
      <c r="J832" t="str">
        <f t="shared" si="102"/>
        <v>081302</v>
      </c>
      <c r="K832" t="s">
        <v>22</v>
      </c>
      <c r="L832" t="s">
        <v>23</v>
      </c>
      <c r="M832" t="str">
        <f t="shared" si="104"/>
        <v>1</v>
      </c>
      <c r="O832" t="str">
        <f t="shared" si="103"/>
        <v>1 </v>
      </c>
      <c r="P832">
        <v>12.25</v>
      </c>
      <c r="Q832" t="s">
        <v>24</v>
      </c>
    </row>
    <row r="833" spans="1:17" ht="15">
      <c r="A833" t="s">
        <v>17</v>
      </c>
      <c r="B833" s="1">
        <v>43152</v>
      </c>
      <c r="C833" t="s">
        <v>1492</v>
      </c>
      <c r="D833" t="str">
        <f>CONCATENATE("0070008101","")</f>
        <v>0070008101</v>
      </c>
      <c r="E833" t="str">
        <f>CONCATENATE("0130215000030       ","")</f>
        <v>0130215000030       </v>
      </c>
      <c r="F833" t="str">
        <f>CONCATENATE("1941372","")</f>
        <v>1941372</v>
      </c>
      <c r="G833" t="s">
        <v>1634</v>
      </c>
      <c r="H833" t="s">
        <v>1637</v>
      </c>
      <c r="I833" t="s">
        <v>1636</v>
      </c>
      <c r="J833" t="str">
        <f t="shared" si="102"/>
        <v>081302</v>
      </c>
      <c r="K833" t="s">
        <v>22</v>
      </c>
      <c r="L833" t="s">
        <v>23</v>
      </c>
      <c r="M833" t="str">
        <f t="shared" si="104"/>
        <v>1</v>
      </c>
      <c r="O833" t="str">
        <f t="shared" si="103"/>
        <v>1 </v>
      </c>
      <c r="P833">
        <v>20.65</v>
      </c>
      <c r="Q833" t="s">
        <v>24</v>
      </c>
    </row>
    <row r="834" spans="1:17" ht="15">
      <c r="A834" t="s">
        <v>17</v>
      </c>
      <c r="B834" s="1">
        <v>43152</v>
      </c>
      <c r="C834" t="s">
        <v>1492</v>
      </c>
      <c r="D834" t="str">
        <f>CONCATENATE("0070008109","")</f>
        <v>0070008109</v>
      </c>
      <c r="E834" t="str">
        <f>CONCATENATE("0130215000100       ","")</f>
        <v>0130215000100       </v>
      </c>
      <c r="F834" t="str">
        <f>CONCATENATE("1945725","")</f>
        <v>1945725</v>
      </c>
      <c r="G834" t="s">
        <v>1634</v>
      </c>
      <c r="H834" t="s">
        <v>1638</v>
      </c>
      <c r="I834" t="s">
        <v>1636</v>
      </c>
      <c r="J834" t="str">
        <f t="shared" si="102"/>
        <v>081302</v>
      </c>
      <c r="K834" t="s">
        <v>22</v>
      </c>
      <c r="L834" t="s">
        <v>23</v>
      </c>
      <c r="M834" t="str">
        <f t="shared" si="104"/>
        <v>1</v>
      </c>
      <c r="O834" t="str">
        <f>CONCATENATE("3 ","")</f>
        <v>3 </v>
      </c>
      <c r="P834">
        <v>23.7</v>
      </c>
      <c r="Q834" t="s">
        <v>24</v>
      </c>
    </row>
    <row r="835" spans="1:17" ht="15">
      <c r="A835" t="s">
        <v>17</v>
      </c>
      <c r="B835" s="1">
        <v>43152</v>
      </c>
      <c r="C835" t="s">
        <v>1492</v>
      </c>
      <c r="D835" t="str">
        <f>CONCATENATE("0070025078","")</f>
        <v>0070025078</v>
      </c>
      <c r="E835" t="str">
        <f>CONCATENATE("0130215000116       ","")</f>
        <v>0130215000116       </v>
      </c>
      <c r="F835" t="str">
        <f>CONCATENATE("606849920","")</f>
        <v>606849920</v>
      </c>
      <c r="G835" t="s">
        <v>1634</v>
      </c>
      <c r="H835" t="s">
        <v>1639</v>
      </c>
      <c r="I835" t="s">
        <v>1640</v>
      </c>
      <c r="J835" t="str">
        <f t="shared" si="102"/>
        <v>081302</v>
      </c>
      <c r="K835" t="s">
        <v>22</v>
      </c>
      <c r="L835" t="s">
        <v>23</v>
      </c>
      <c r="M835" t="str">
        <f t="shared" si="104"/>
        <v>1</v>
      </c>
      <c r="O835" t="str">
        <f>CONCATENATE("1 ","")</f>
        <v>1 </v>
      </c>
      <c r="P835">
        <v>24.55</v>
      </c>
      <c r="Q835" t="s">
        <v>24</v>
      </c>
    </row>
    <row r="836" spans="1:17" ht="15">
      <c r="A836" t="s">
        <v>17</v>
      </c>
      <c r="B836" s="1">
        <v>43152</v>
      </c>
      <c r="C836" t="s">
        <v>1492</v>
      </c>
      <c r="D836" t="str">
        <f>CONCATENATE("0070016117","")</f>
        <v>0070016117</v>
      </c>
      <c r="E836" t="str">
        <f>CONCATENATE("0130215000240       ","")</f>
        <v>0130215000240       </v>
      </c>
      <c r="F836" t="str">
        <f>CONCATENATE("606752944","")</f>
        <v>606752944</v>
      </c>
      <c r="G836" t="s">
        <v>1634</v>
      </c>
      <c r="H836" t="s">
        <v>1641</v>
      </c>
      <c r="I836" t="s">
        <v>1642</v>
      </c>
      <c r="J836" t="str">
        <f t="shared" si="102"/>
        <v>081302</v>
      </c>
      <c r="K836" t="s">
        <v>22</v>
      </c>
      <c r="L836" t="s">
        <v>23</v>
      </c>
      <c r="M836" t="str">
        <f t="shared" si="104"/>
        <v>1</v>
      </c>
      <c r="O836" t="str">
        <f>CONCATENATE("1 ","")</f>
        <v>1 </v>
      </c>
      <c r="P836">
        <v>20.7</v>
      </c>
      <c r="Q836" t="s">
        <v>24</v>
      </c>
    </row>
    <row r="837" spans="1:17" ht="15">
      <c r="A837" t="s">
        <v>17</v>
      </c>
      <c r="B837" s="1">
        <v>43152</v>
      </c>
      <c r="C837" t="s">
        <v>104</v>
      </c>
      <c r="D837" t="str">
        <f>CONCATENATE("0070008126","")</f>
        <v>0070008126</v>
      </c>
      <c r="E837" t="str">
        <f>CONCATENATE("0130220000030       ","")</f>
        <v>0130220000030       </v>
      </c>
      <c r="F837" t="str">
        <f>CONCATENATE("607442985","")</f>
        <v>607442985</v>
      </c>
      <c r="G837" t="s">
        <v>1643</v>
      </c>
      <c r="H837" t="s">
        <v>1644</v>
      </c>
      <c r="I837" t="s">
        <v>1645</v>
      </c>
      <c r="J837" t="str">
        <f aca="true" t="shared" si="105" ref="J837:J844">CONCATENATE("080303","")</f>
        <v>080303</v>
      </c>
      <c r="K837" t="s">
        <v>22</v>
      </c>
      <c r="L837" t="s">
        <v>23</v>
      </c>
      <c r="M837" t="str">
        <f t="shared" si="104"/>
        <v>1</v>
      </c>
      <c r="O837" t="str">
        <f>CONCATENATE("1 ","")</f>
        <v>1 </v>
      </c>
      <c r="P837">
        <v>186.8</v>
      </c>
      <c r="Q837" t="s">
        <v>24</v>
      </c>
    </row>
    <row r="838" spans="1:17" ht="15">
      <c r="A838" t="s">
        <v>17</v>
      </c>
      <c r="B838" s="1">
        <v>43152</v>
      </c>
      <c r="C838" t="s">
        <v>104</v>
      </c>
      <c r="D838" t="str">
        <f>CONCATENATE("0070008128","")</f>
        <v>0070008128</v>
      </c>
      <c r="E838" t="str">
        <f>CONCATENATE("0130220000050       ","")</f>
        <v>0130220000050       </v>
      </c>
      <c r="F838" t="str">
        <f>CONCATENATE("605156548","")</f>
        <v>605156548</v>
      </c>
      <c r="G838" t="s">
        <v>1643</v>
      </c>
      <c r="H838" t="s">
        <v>1646</v>
      </c>
      <c r="I838" t="s">
        <v>1645</v>
      </c>
      <c r="J838" t="str">
        <f t="shared" si="105"/>
        <v>080303</v>
      </c>
      <c r="K838" t="s">
        <v>22</v>
      </c>
      <c r="L838" t="s">
        <v>23</v>
      </c>
      <c r="M838" t="str">
        <f t="shared" si="104"/>
        <v>1</v>
      </c>
      <c r="O838" t="str">
        <f>CONCATENATE("1 ","")</f>
        <v>1 </v>
      </c>
      <c r="P838">
        <v>144.55</v>
      </c>
      <c r="Q838" t="s">
        <v>24</v>
      </c>
    </row>
    <row r="839" spans="1:17" ht="15">
      <c r="A839" t="s">
        <v>17</v>
      </c>
      <c r="B839" s="1">
        <v>43152</v>
      </c>
      <c r="C839" t="s">
        <v>104</v>
      </c>
      <c r="D839" t="str">
        <f>CONCATENATE("0070008129","")</f>
        <v>0070008129</v>
      </c>
      <c r="E839" t="str">
        <f>CONCATENATE("0130220000060       ","")</f>
        <v>0130220000060       </v>
      </c>
      <c r="F839" t="str">
        <f>CONCATENATE("605156543","")</f>
        <v>605156543</v>
      </c>
      <c r="G839" t="s">
        <v>1643</v>
      </c>
      <c r="H839" t="s">
        <v>1647</v>
      </c>
      <c r="I839" t="s">
        <v>1645</v>
      </c>
      <c r="J839" t="str">
        <f t="shared" si="105"/>
        <v>080303</v>
      </c>
      <c r="K839" t="s">
        <v>22</v>
      </c>
      <c r="L839" t="s">
        <v>23</v>
      </c>
      <c r="M839" t="str">
        <f t="shared" si="104"/>
        <v>1</v>
      </c>
      <c r="O839" t="str">
        <f>CONCATENATE("2 ","")</f>
        <v>2 </v>
      </c>
      <c r="P839">
        <v>41.55</v>
      </c>
      <c r="Q839" t="s">
        <v>24</v>
      </c>
    </row>
    <row r="840" spans="1:17" ht="15">
      <c r="A840" t="s">
        <v>17</v>
      </c>
      <c r="B840" s="1">
        <v>43152</v>
      </c>
      <c r="C840" t="s">
        <v>104</v>
      </c>
      <c r="D840" t="str">
        <f>CONCATENATE("0070013207","")</f>
        <v>0070013207</v>
      </c>
      <c r="E840" t="str">
        <f>CONCATENATE("0130220000115       ","")</f>
        <v>0130220000115       </v>
      </c>
      <c r="F840" t="str">
        <f>CONCATENATE("1930743","")</f>
        <v>1930743</v>
      </c>
      <c r="G840" t="s">
        <v>1643</v>
      </c>
      <c r="H840" t="s">
        <v>1648</v>
      </c>
      <c r="I840" t="s">
        <v>1649</v>
      </c>
      <c r="J840" t="str">
        <f t="shared" si="105"/>
        <v>080303</v>
      </c>
      <c r="K840" t="s">
        <v>22</v>
      </c>
      <c r="L840" t="s">
        <v>23</v>
      </c>
      <c r="M840" t="str">
        <f t="shared" si="104"/>
        <v>1</v>
      </c>
      <c r="O840" t="str">
        <f>CONCATENATE("3 ","")</f>
        <v>3 </v>
      </c>
      <c r="P840">
        <v>100.15</v>
      </c>
      <c r="Q840" t="s">
        <v>24</v>
      </c>
    </row>
    <row r="841" spans="1:17" ht="15">
      <c r="A841" t="s">
        <v>17</v>
      </c>
      <c r="B841" s="1">
        <v>43152</v>
      </c>
      <c r="C841" t="s">
        <v>104</v>
      </c>
      <c r="D841" t="str">
        <f>CONCATENATE("0070022638","")</f>
        <v>0070022638</v>
      </c>
      <c r="E841" t="str">
        <f>CONCATENATE("0130220000238       ","")</f>
        <v>0130220000238       </v>
      </c>
      <c r="F841" t="str">
        <f>CONCATENATE("2191115","")</f>
        <v>2191115</v>
      </c>
      <c r="G841" t="s">
        <v>1643</v>
      </c>
      <c r="H841" t="s">
        <v>1650</v>
      </c>
      <c r="I841" t="s">
        <v>1651</v>
      </c>
      <c r="J841" t="str">
        <f t="shared" si="105"/>
        <v>080303</v>
      </c>
      <c r="K841" t="s">
        <v>22</v>
      </c>
      <c r="L841" t="s">
        <v>23</v>
      </c>
      <c r="M841" t="str">
        <f t="shared" si="104"/>
        <v>1</v>
      </c>
      <c r="O841" t="str">
        <f>CONCATENATE("3 ","")</f>
        <v>3 </v>
      </c>
      <c r="P841">
        <v>172.1</v>
      </c>
      <c r="Q841" t="s">
        <v>24</v>
      </c>
    </row>
    <row r="842" spans="1:17" ht="15">
      <c r="A842" t="s">
        <v>17</v>
      </c>
      <c r="B842" s="1">
        <v>43152</v>
      </c>
      <c r="C842" t="s">
        <v>104</v>
      </c>
      <c r="D842" t="str">
        <f>CONCATENATE("0070021105","")</f>
        <v>0070021105</v>
      </c>
      <c r="E842" t="str">
        <f>CONCATENATE("0130220000255       ","")</f>
        <v>0130220000255       </v>
      </c>
      <c r="F842" t="str">
        <f>CONCATENATE("605278816","")</f>
        <v>605278816</v>
      </c>
      <c r="G842" t="s">
        <v>1643</v>
      </c>
      <c r="H842" t="s">
        <v>1652</v>
      </c>
      <c r="I842" t="s">
        <v>1653</v>
      </c>
      <c r="J842" t="str">
        <f t="shared" si="105"/>
        <v>080303</v>
      </c>
      <c r="K842" t="s">
        <v>22</v>
      </c>
      <c r="L842" t="s">
        <v>23</v>
      </c>
      <c r="M842" t="str">
        <f t="shared" si="104"/>
        <v>1</v>
      </c>
      <c r="O842" t="str">
        <f>CONCATENATE("1 ","")</f>
        <v>1 </v>
      </c>
      <c r="P842">
        <v>46.15</v>
      </c>
      <c r="Q842" t="s">
        <v>24</v>
      </c>
    </row>
    <row r="843" spans="1:17" ht="15">
      <c r="A843" t="s">
        <v>17</v>
      </c>
      <c r="B843" s="1">
        <v>43152</v>
      </c>
      <c r="C843" t="s">
        <v>104</v>
      </c>
      <c r="D843" t="str">
        <f>CONCATENATE("0070008156","")</f>
        <v>0070008156</v>
      </c>
      <c r="E843" t="str">
        <f>CONCATENATE("0130220000280       ","")</f>
        <v>0130220000280       </v>
      </c>
      <c r="F843" t="str">
        <f>CONCATENATE("605291787","")</f>
        <v>605291787</v>
      </c>
      <c r="G843" t="s">
        <v>1643</v>
      </c>
      <c r="H843" t="s">
        <v>1654</v>
      </c>
      <c r="I843" t="s">
        <v>1645</v>
      </c>
      <c r="J843" t="str">
        <f t="shared" si="105"/>
        <v>080303</v>
      </c>
      <c r="K843" t="s">
        <v>22</v>
      </c>
      <c r="L843" t="s">
        <v>23</v>
      </c>
      <c r="M843" t="str">
        <f t="shared" si="104"/>
        <v>1</v>
      </c>
      <c r="O843" t="str">
        <f>CONCATENATE("1 ","")</f>
        <v>1 </v>
      </c>
      <c r="P843">
        <v>57</v>
      </c>
      <c r="Q843" t="s">
        <v>24</v>
      </c>
    </row>
    <row r="844" spans="1:17" ht="15">
      <c r="A844" t="s">
        <v>17</v>
      </c>
      <c r="B844" s="1">
        <v>43152</v>
      </c>
      <c r="C844" t="s">
        <v>104</v>
      </c>
      <c r="D844" t="str">
        <f>CONCATENATE("0070017637","")</f>
        <v>0070017637</v>
      </c>
      <c r="E844" t="str">
        <f>CONCATENATE("0130220000365       ","")</f>
        <v>0130220000365       </v>
      </c>
      <c r="F844" t="str">
        <f>CONCATENATE("605619765","")</f>
        <v>605619765</v>
      </c>
      <c r="G844" t="s">
        <v>1643</v>
      </c>
      <c r="H844" t="s">
        <v>1655</v>
      </c>
      <c r="I844" t="s">
        <v>1656</v>
      </c>
      <c r="J844" t="str">
        <f t="shared" si="105"/>
        <v>080303</v>
      </c>
      <c r="K844" t="s">
        <v>22</v>
      </c>
      <c r="L844" t="s">
        <v>23</v>
      </c>
      <c r="M844" t="str">
        <f t="shared" si="104"/>
        <v>1</v>
      </c>
      <c r="O844" t="str">
        <f>CONCATENATE("1 ","")</f>
        <v>1 </v>
      </c>
      <c r="P844">
        <v>162.85</v>
      </c>
      <c r="Q844" t="s">
        <v>24</v>
      </c>
    </row>
    <row r="845" spans="1:17" ht="15">
      <c r="A845" t="s">
        <v>17</v>
      </c>
      <c r="B845" s="1">
        <v>43152</v>
      </c>
      <c r="C845" t="s">
        <v>1492</v>
      </c>
      <c r="D845" t="str">
        <f>CONCATENATE("0070008162","")</f>
        <v>0070008162</v>
      </c>
      <c r="E845" t="str">
        <f>CONCATENATE("0130225000010       ","")</f>
        <v>0130225000010       </v>
      </c>
      <c r="F845" t="str">
        <f>CONCATENATE("607442992","")</f>
        <v>607442992</v>
      </c>
      <c r="G845" t="s">
        <v>1657</v>
      </c>
      <c r="H845" t="s">
        <v>1658</v>
      </c>
      <c r="I845" t="s">
        <v>1659</v>
      </c>
      <c r="J845" t="str">
        <f aca="true" t="shared" si="106" ref="J845:J850">CONCATENATE("081302","")</f>
        <v>081302</v>
      </c>
      <c r="K845" t="s">
        <v>22</v>
      </c>
      <c r="L845" t="s">
        <v>23</v>
      </c>
      <c r="M845" t="str">
        <f t="shared" si="104"/>
        <v>1</v>
      </c>
      <c r="O845" t="str">
        <f>CONCATENATE("1 ","")</f>
        <v>1 </v>
      </c>
      <c r="P845">
        <v>21.2</v>
      </c>
      <c r="Q845" t="s">
        <v>24</v>
      </c>
    </row>
    <row r="846" spans="1:17" ht="15">
      <c r="A846" t="s">
        <v>17</v>
      </c>
      <c r="B846" s="1">
        <v>43152</v>
      </c>
      <c r="C846" t="s">
        <v>1492</v>
      </c>
      <c r="D846" t="str">
        <f>CONCATENATE("0070020585","")</f>
        <v>0070020585</v>
      </c>
      <c r="E846" t="str">
        <f>CONCATENATE("0130225000016       ","")</f>
        <v>0130225000016       </v>
      </c>
      <c r="F846" t="str">
        <f>CONCATENATE("605938133","")</f>
        <v>605938133</v>
      </c>
      <c r="G846" t="s">
        <v>1657</v>
      </c>
      <c r="H846" t="s">
        <v>1660</v>
      </c>
      <c r="I846" t="s">
        <v>1661</v>
      </c>
      <c r="J846" t="str">
        <f t="shared" si="106"/>
        <v>081302</v>
      </c>
      <c r="K846" t="s">
        <v>22</v>
      </c>
      <c r="L846" t="s">
        <v>23</v>
      </c>
      <c r="M846" t="str">
        <f t="shared" si="104"/>
        <v>1</v>
      </c>
      <c r="O846" t="str">
        <f>CONCATENATE("2 ","")</f>
        <v>2 </v>
      </c>
      <c r="P846">
        <v>15.2</v>
      </c>
      <c r="Q846" t="s">
        <v>24</v>
      </c>
    </row>
    <row r="847" spans="1:17" ht="15">
      <c r="A847" t="s">
        <v>17</v>
      </c>
      <c r="B847" s="1">
        <v>43152</v>
      </c>
      <c r="C847" t="s">
        <v>1492</v>
      </c>
      <c r="D847" t="str">
        <f>CONCATENATE("0070008230","")</f>
        <v>0070008230</v>
      </c>
      <c r="E847" t="str">
        <f>CONCATENATE("0130230000010       ","")</f>
        <v>0130230000010       </v>
      </c>
      <c r="F847" t="str">
        <f>CONCATENATE("607430978","")</f>
        <v>607430978</v>
      </c>
      <c r="G847" t="s">
        <v>1662</v>
      </c>
      <c r="H847" t="s">
        <v>1663</v>
      </c>
      <c r="I847" t="s">
        <v>1664</v>
      </c>
      <c r="J847" t="str">
        <f t="shared" si="106"/>
        <v>081302</v>
      </c>
      <c r="K847" t="s">
        <v>22</v>
      </c>
      <c r="L847" t="s">
        <v>23</v>
      </c>
      <c r="M847" t="str">
        <f>CONCATENATE("4","")</f>
        <v>4</v>
      </c>
      <c r="O847" t="str">
        <f>CONCATENATE("1 ","")</f>
        <v>1 </v>
      </c>
      <c r="P847">
        <v>52</v>
      </c>
      <c r="Q847" t="s">
        <v>51</v>
      </c>
    </row>
    <row r="848" spans="1:17" ht="15">
      <c r="A848" t="s">
        <v>17</v>
      </c>
      <c r="B848" s="1">
        <v>43152</v>
      </c>
      <c r="C848" t="s">
        <v>1492</v>
      </c>
      <c r="D848" t="str">
        <f>CONCATENATE("0070008239","")</f>
        <v>0070008239</v>
      </c>
      <c r="E848" t="str">
        <f>CONCATENATE("0130230000100       ","")</f>
        <v>0130230000100       </v>
      </c>
      <c r="F848" t="str">
        <f>CONCATENATE("606930989","")</f>
        <v>606930989</v>
      </c>
      <c r="G848" t="s">
        <v>1662</v>
      </c>
      <c r="H848" t="s">
        <v>1665</v>
      </c>
      <c r="I848" t="s">
        <v>1666</v>
      </c>
      <c r="J848" t="str">
        <f t="shared" si="106"/>
        <v>081302</v>
      </c>
      <c r="K848" t="s">
        <v>22</v>
      </c>
      <c r="L848" t="s">
        <v>23</v>
      </c>
      <c r="M848" t="str">
        <f aca="true" t="shared" si="107" ref="M848:M867">CONCATENATE("1","")</f>
        <v>1</v>
      </c>
      <c r="O848" t="str">
        <f>CONCATENATE("1 ","")</f>
        <v>1 </v>
      </c>
      <c r="P848">
        <v>57.6</v>
      </c>
      <c r="Q848" t="s">
        <v>24</v>
      </c>
    </row>
    <row r="849" spans="1:17" ht="15">
      <c r="A849" t="s">
        <v>17</v>
      </c>
      <c r="B849" s="1">
        <v>43152</v>
      </c>
      <c r="C849" t="s">
        <v>1492</v>
      </c>
      <c r="D849" t="str">
        <f>CONCATENATE("0070023171","")</f>
        <v>0070023171</v>
      </c>
      <c r="E849" t="str">
        <f>CONCATENATE("0130230000115       ","")</f>
        <v>0130230000115       </v>
      </c>
      <c r="F849" t="str">
        <f>CONCATENATE("606674790","")</f>
        <v>606674790</v>
      </c>
      <c r="G849" t="s">
        <v>1662</v>
      </c>
      <c r="H849" t="s">
        <v>1667</v>
      </c>
      <c r="I849" t="s">
        <v>1668</v>
      </c>
      <c r="J849" t="str">
        <f t="shared" si="106"/>
        <v>081302</v>
      </c>
      <c r="K849" t="s">
        <v>22</v>
      </c>
      <c r="L849" t="s">
        <v>23</v>
      </c>
      <c r="M849" t="str">
        <f t="shared" si="107"/>
        <v>1</v>
      </c>
      <c r="O849" t="str">
        <f>CONCATENATE("2 ","")</f>
        <v>2 </v>
      </c>
      <c r="P849">
        <v>17.6</v>
      </c>
      <c r="Q849" t="s">
        <v>24</v>
      </c>
    </row>
    <row r="850" spans="1:17" ht="15">
      <c r="A850" t="s">
        <v>17</v>
      </c>
      <c r="B850" s="1">
        <v>43152</v>
      </c>
      <c r="C850" t="s">
        <v>1492</v>
      </c>
      <c r="D850" t="str">
        <f>CONCATENATE("0070021052","")</f>
        <v>0070021052</v>
      </c>
      <c r="E850" t="str">
        <f>CONCATENATE("0130230000151       ","")</f>
        <v>0130230000151       </v>
      </c>
      <c r="F850" t="str">
        <f>CONCATENATE("1674032","")</f>
        <v>1674032</v>
      </c>
      <c r="G850" t="s">
        <v>1662</v>
      </c>
      <c r="H850" t="s">
        <v>1669</v>
      </c>
      <c r="I850" t="s">
        <v>1670</v>
      </c>
      <c r="J850" t="str">
        <f t="shared" si="106"/>
        <v>081302</v>
      </c>
      <c r="K850" t="s">
        <v>22</v>
      </c>
      <c r="L850" t="s">
        <v>23</v>
      </c>
      <c r="M850" t="str">
        <f t="shared" si="107"/>
        <v>1</v>
      </c>
      <c r="O850" t="str">
        <f>CONCATENATE("4 ","")</f>
        <v>4 </v>
      </c>
      <c r="P850">
        <v>214.3</v>
      </c>
      <c r="Q850" t="s">
        <v>24</v>
      </c>
    </row>
    <row r="851" spans="1:17" ht="15">
      <c r="A851" t="s">
        <v>17</v>
      </c>
      <c r="B851" s="1">
        <v>43152</v>
      </c>
      <c r="C851" t="s">
        <v>104</v>
      </c>
      <c r="D851" t="str">
        <f>CONCATENATE("0070013072","")</f>
        <v>0070013072</v>
      </c>
      <c r="E851" t="str">
        <f>CONCATENATE("0130231000020       ","")</f>
        <v>0130231000020       </v>
      </c>
      <c r="F851" t="str">
        <f>CONCATENATE("607448486","")</f>
        <v>607448486</v>
      </c>
      <c r="G851" t="s">
        <v>1671</v>
      </c>
      <c r="H851" t="s">
        <v>1672</v>
      </c>
      <c r="I851" t="s">
        <v>1673</v>
      </c>
      <c r="J851" t="str">
        <f>CONCATENATE("080303","")</f>
        <v>080303</v>
      </c>
      <c r="K851" t="s">
        <v>22</v>
      </c>
      <c r="L851" t="s">
        <v>23</v>
      </c>
      <c r="M851" t="str">
        <f t="shared" si="107"/>
        <v>1</v>
      </c>
      <c r="O851" t="str">
        <f>CONCATENATE("1 ","")</f>
        <v>1 </v>
      </c>
      <c r="P851">
        <v>84.35</v>
      </c>
      <c r="Q851" t="s">
        <v>24</v>
      </c>
    </row>
    <row r="852" spans="1:17" ht="15">
      <c r="A852" t="s">
        <v>17</v>
      </c>
      <c r="B852" s="1">
        <v>43152</v>
      </c>
      <c r="C852" t="s">
        <v>104</v>
      </c>
      <c r="D852" t="str">
        <f>CONCATENATE("0070008258","")</f>
        <v>0070008258</v>
      </c>
      <c r="E852" t="str">
        <f>CONCATENATE("0130231000220       ","")</f>
        <v>0130231000220       </v>
      </c>
      <c r="F852" t="str">
        <f>CONCATENATE("605748899","")</f>
        <v>605748899</v>
      </c>
      <c r="G852" t="s">
        <v>1671</v>
      </c>
      <c r="H852" t="s">
        <v>1674</v>
      </c>
      <c r="I852" t="s">
        <v>1675</v>
      </c>
      <c r="J852" t="str">
        <f>CONCATENATE("080303","")</f>
        <v>080303</v>
      </c>
      <c r="K852" t="s">
        <v>22</v>
      </c>
      <c r="L852" t="s">
        <v>23</v>
      </c>
      <c r="M852" t="str">
        <f t="shared" si="107"/>
        <v>1</v>
      </c>
      <c r="O852" t="str">
        <f>CONCATENATE("4 ","")</f>
        <v>4 </v>
      </c>
      <c r="P852">
        <v>78.45</v>
      </c>
      <c r="Q852" t="s">
        <v>24</v>
      </c>
    </row>
    <row r="853" spans="1:17" ht="15">
      <c r="A853" t="s">
        <v>17</v>
      </c>
      <c r="B853" s="1">
        <v>43152</v>
      </c>
      <c r="C853" t="s">
        <v>1492</v>
      </c>
      <c r="D853" t="str">
        <f>CONCATENATE("0070008314","")</f>
        <v>0070008314</v>
      </c>
      <c r="E853" t="str">
        <f>CONCATENATE("0130235000170       ","")</f>
        <v>0130235000170       </v>
      </c>
      <c r="F853" t="str">
        <f>CONCATENATE("2129199","")</f>
        <v>2129199</v>
      </c>
      <c r="G853" t="s">
        <v>1676</v>
      </c>
      <c r="H853" t="s">
        <v>1677</v>
      </c>
      <c r="I853" t="s">
        <v>1678</v>
      </c>
      <c r="J853" t="str">
        <f aca="true" t="shared" si="108" ref="J853:J859">CONCATENATE("081302","")</f>
        <v>081302</v>
      </c>
      <c r="K853" t="s">
        <v>22</v>
      </c>
      <c r="L853" t="s">
        <v>23</v>
      </c>
      <c r="M853" t="str">
        <f t="shared" si="107"/>
        <v>1</v>
      </c>
      <c r="O853" t="str">
        <f aca="true" t="shared" si="109" ref="O853:O861">CONCATENATE("1 ","")</f>
        <v>1 </v>
      </c>
      <c r="P853">
        <v>135.9</v>
      </c>
      <c r="Q853" t="s">
        <v>24</v>
      </c>
    </row>
    <row r="854" spans="1:17" ht="15">
      <c r="A854" t="s">
        <v>17</v>
      </c>
      <c r="B854" s="1">
        <v>43152</v>
      </c>
      <c r="C854" t="s">
        <v>1492</v>
      </c>
      <c r="D854" t="str">
        <f>CONCATENATE("0070022876","")</f>
        <v>0070022876</v>
      </c>
      <c r="E854" t="str">
        <f>CONCATENATE("0130235000242       ","")</f>
        <v>0130235000242       </v>
      </c>
      <c r="F854" t="str">
        <f>CONCATENATE("2191228","")</f>
        <v>2191228</v>
      </c>
      <c r="G854" t="s">
        <v>1676</v>
      </c>
      <c r="H854" t="s">
        <v>1679</v>
      </c>
      <c r="I854" t="s">
        <v>1680</v>
      </c>
      <c r="J854" t="str">
        <f t="shared" si="108"/>
        <v>081302</v>
      </c>
      <c r="K854" t="s">
        <v>22</v>
      </c>
      <c r="L854" t="s">
        <v>23</v>
      </c>
      <c r="M854" t="str">
        <f t="shared" si="107"/>
        <v>1</v>
      </c>
      <c r="O854" t="str">
        <f t="shared" si="109"/>
        <v>1 </v>
      </c>
      <c r="P854">
        <v>35.3</v>
      </c>
      <c r="Q854" t="s">
        <v>24</v>
      </c>
    </row>
    <row r="855" spans="1:17" ht="15">
      <c r="A855" t="s">
        <v>17</v>
      </c>
      <c r="B855" s="1">
        <v>43152</v>
      </c>
      <c r="C855" t="s">
        <v>1492</v>
      </c>
      <c r="D855" t="str">
        <f>CONCATENATE("0070008355","")</f>
        <v>0070008355</v>
      </c>
      <c r="E855" t="str">
        <f>CONCATENATE("0130240000261       ","")</f>
        <v>0130240000261       </v>
      </c>
      <c r="F855" t="str">
        <f>CONCATENATE("1937550","")</f>
        <v>1937550</v>
      </c>
      <c r="G855" t="s">
        <v>1681</v>
      </c>
      <c r="H855" t="s">
        <v>1682</v>
      </c>
      <c r="I855" t="s">
        <v>1683</v>
      </c>
      <c r="J855" t="str">
        <f t="shared" si="108"/>
        <v>081302</v>
      </c>
      <c r="K855" t="s">
        <v>22</v>
      </c>
      <c r="L855" t="s">
        <v>23</v>
      </c>
      <c r="M855" t="str">
        <f t="shared" si="107"/>
        <v>1</v>
      </c>
      <c r="O855" t="str">
        <f t="shared" si="109"/>
        <v>1 </v>
      </c>
      <c r="P855">
        <v>79.8</v>
      </c>
      <c r="Q855" t="s">
        <v>24</v>
      </c>
    </row>
    <row r="856" spans="1:17" ht="15">
      <c r="A856" t="s">
        <v>17</v>
      </c>
      <c r="B856" s="1">
        <v>43152</v>
      </c>
      <c r="C856" t="s">
        <v>1492</v>
      </c>
      <c r="D856" t="str">
        <f>CONCATENATE("0070021808","")</f>
        <v>0070021808</v>
      </c>
      <c r="E856" t="str">
        <f>CONCATENATE("0130241000055       ","")</f>
        <v>0130241000055       </v>
      </c>
      <c r="F856" t="str">
        <f>CONCATENATE("1860593","")</f>
        <v>1860593</v>
      </c>
      <c r="G856" t="s">
        <v>1684</v>
      </c>
      <c r="H856" t="s">
        <v>1685</v>
      </c>
      <c r="I856" t="s">
        <v>1686</v>
      </c>
      <c r="J856" t="str">
        <f t="shared" si="108"/>
        <v>081302</v>
      </c>
      <c r="K856" t="s">
        <v>22</v>
      </c>
      <c r="L856" t="s">
        <v>23</v>
      </c>
      <c r="M856" t="str">
        <f t="shared" si="107"/>
        <v>1</v>
      </c>
      <c r="O856" t="str">
        <f t="shared" si="109"/>
        <v>1 </v>
      </c>
      <c r="P856">
        <v>18.25</v>
      </c>
      <c r="Q856" t="s">
        <v>24</v>
      </c>
    </row>
    <row r="857" spans="1:17" ht="15">
      <c r="A857" t="s">
        <v>17</v>
      </c>
      <c r="B857" s="1">
        <v>43152</v>
      </c>
      <c r="C857" t="s">
        <v>1492</v>
      </c>
      <c r="D857" t="str">
        <f>CONCATENATE("0070008409","")</f>
        <v>0070008409</v>
      </c>
      <c r="E857" t="str">
        <f>CONCATENATE("0130241000240       ","")</f>
        <v>0130241000240       </v>
      </c>
      <c r="F857" t="str">
        <f>CONCATENATE("606930194","")</f>
        <v>606930194</v>
      </c>
      <c r="G857" t="s">
        <v>1687</v>
      </c>
      <c r="H857" t="s">
        <v>1688</v>
      </c>
      <c r="I857" t="s">
        <v>1689</v>
      </c>
      <c r="J857" t="str">
        <f t="shared" si="108"/>
        <v>081302</v>
      </c>
      <c r="K857" t="s">
        <v>22</v>
      </c>
      <c r="L857" t="s">
        <v>23</v>
      </c>
      <c r="M857" t="str">
        <f t="shared" si="107"/>
        <v>1</v>
      </c>
      <c r="O857" t="str">
        <f t="shared" si="109"/>
        <v>1 </v>
      </c>
      <c r="P857">
        <v>24.9</v>
      </c>
      <c r="Q857" t="s">
        <v>24</v>
      </c>
    </row>
    <row r="858" spans="1:17" ht="15">
      <c r="A858" t="s">
        <v>17</v>
      </c>
      <c r="B858" s="1">
        <v>43152</v>
      </c>
      <c r="C858" t="s">
        <v>1492</v>
      </c>
      <c r="D858" t="str">
        <f>CONCATENATE("0070025162","")</f>
        <v>0070025162</v>
      </c>
      <c r="E858" t="str">
        <f>CONCATENATE("0130242000013       ","")</f>
        <v>0130242000013       </v>
      </c>
      <c r="F858" t="str">
        <f>CONCATENATE("607443933","")</f>
        <v>607443933</v>
      </c>
      <c r="G858" t="s">
        <v>1690</v>
      </c>
      <c r="H858" t="s">
        <v>1691</v>
      </c>
      <c r="I858" t="s">
        <v>1692</v>
      </c>
      <c r="J858" t="str">
        <f t="shared" si="108"/>
        <v>081302</v>
      </c>
      <c r="K858" t="s">
        <v>22</v>
      </c>
      <c r="L858" t="s">
        <v>23</v>
      </c>
      <c r="M858" t="str">
        <f t="shared" si="107"/>
        <v>1</v>
      </c>
      <c r="O858" t="str">
        <f t="shared" si="109"/>
        <v>1 </v>
      </c>
      <c r="P858">
        <v>71.05</v>
      </c>
      <c r="Q858" t="s">
        <v>24</v>
      </c>
    </row>
    <row r="859" spans="1:17" ht="15">
      <c r="A859" t="s">
        <v>17</v>
      </c>
      <c r="B859" s="1">
        <v>43152</v>
      </c>
      <c r="C859" t="s">
        <v>1492</v>
      </c>
      <c r="D859" t="str">
        <f>CONCATENATE("0070023048","")</f>
        <v>0070023048</v>
      </c>
      <c r="E859" t="str">
        <f>CONCATENATE("0130242001079       ","")</f>
        <v>0130242001079       </v>
      </c>
      <c r="F859" t="str">
        <f>CONCATENATE("606602739","")</f>
        <v>606602739</v>
      </c>
      <c r="G859" t="s">
        <v>1690</v>
      </c>
      <c r="H859" t="s">
        <v>1693</v>
      </c>
      <c r="I859" t="s">
        <v>1694</v>
      </c>
      <c r="J859" t="str">
        <f t="shared" si="108"/>
        <v>081302</v>
      </c>
      <c r="K859" t="s">
        <v>22</v>
      </c>
      <c r="L859" t="s">
        <v>23</v>
      </c>
      <c r="M859" t="str">
        <f t="shared" si="107"/>
        <v>1</v>
      </c>
      <c r="O859" t="str">
        <f t="shared" si="109"/>
        <v>1 </v>
      </c>
      <c r="P859">
        <v>12.1</v>
      </c>
      <c r="Q859" t="s">
        <v>24</v>
      </c>
    </row>
    <row r="860" spans="1:17" ht="15">
      <c r="A860" t="s">
        <v>17</v>
      </c>
      <c r="B860" s="1">
        <v>43152</v>
      </c>
      <c r="C860" t="s">
        <v>100</v>
      </c>
      <c r="D860" t="str">
        <f>CONCATENATE("0070009316","")</f>
        <v>0070009316</v>
      </c>
      <c r="E860" t="str">
        <f>CONCATENATE("0130249000375       ","")</f>
        <v>0130249000375       </v>
      </c>
      <c r="F860" t="str">
        <f>CONCATENATE("605274339","")</f>
        <v>605274339</v>
      </c>
      <c r="G860" t="s">
        <v>1695</v>
      </c>
      <c r="H860" t="s">
        <v>1696</v>
      </c>
      <c r="I860" t="s">
        <v>1697</v>
      </c>
      <c r="J860" t="str">
        <f>CONCATENATE("080308","")</f>
        <v>080308</v>
      </c>
      <c r="K860" t="s">
        <v>22</v>
      </c>
      <c r="L860" t="s">
        <v>23</v>
      </c>
      <c r="M860" t="str">
        <f t="shared" si="107"/>
        <v>1</v>
      </c>
      <c r="O860" t="str">
        <f t="shared" si="109"/>
        <v>1 </v>
      </c>
      <c r="P860">
        <v>31.3</v>
      </c>
      <c r="Q860" t="s">
        <v>24</v>
      </c>
    </row>
    <row r="861" spans="1:17" ht="15">
      <c r="A861" t="s">
        <v>17</v>
      </c>
      <c r="B861" s="1">
        <v>43152</v>
      </c>
      <c r="C861" t="s">
        <v>104</v>
      </c>
      <c r="D861" t="str">
        <f>CONCATENATE("0070014084","")</f>
        <v>0070014084</v>
      </c>
      <c r="E861" t="str">
        <f>CONCATENATE("0130254000010       ","")</f>
        <v>0130254000010       </v>
      </c>
      <c r="F861" t="str">
        <f>CONCATENATE("606744538","")</f>
        <v>606744538</v>
      </c>
      <c r="G861" t="s">
        <v>1698</v>
      </c>
      <c r="H861" t="s">
        <v>1699</v>
      </c>
      <c r="I861" t="s">
        <v>1700</v>
      </c>
      <c r="J861" t="str">
        <f>CONCATENATE("080303","")</f>
        <v>080303</v>
      </c>
      <c r="K861" t="s">
        <v>22</v>
      </c>
      <c r="L861" t="s">
        <v>23</v>
      </c>
      <c r="M861" t="str">
        <f t="shared" si="107"/>
        <v>1</v>
      </c>
      <c r="O861" t="str">
        <f t="shared" si="109"/>
        <v>1 </v>
      </c>
      <c r="P861">
        <v>37.95</v>
      </c>
      <c r="Q861" t="s">
        <v>24</v>
      </c>
    </row>
    <row r="862" spans="1:17" ht="15">
      <c r="A862" t="s">
        <v>17</v>
      </c>
      <c r="B862" s="1">
        <v>43152</v>
      </c>
      <c r="C862" t="s">
        <v>1492</v>
      </c>
      <c r="D862" t="str">
        <f>CONCATENATE("0070008497","")</f>
        <v>0070008497</v>
      </c>
      <c r="E862" t="str">
        <f>CONCATENATE("0130255000040       ","")</f>
        <v>0130255000040       </v>
      </c>
      <c r="F862" t="str">
        <f>CONCATENATE("607546572","")</f>
        <v>607546572</v>
      </c>
      <c r="G862" t="s">
        <v>1701</v>
      </c>
      <c r="H862" t="s">
        <v>1702</v>
      </c>
      <c r="I862" t="s">
        <v>1703</v>
      </c>
      <c r="J862" t="str">
        <f aca="true" t="shared" si="110" ref="J862:J897">CONCATENATE("081302","")</f>
        <v>081302</v>
      </c>
      <c r="K862" t="s">
        <v>22</v>
      </c>
      <c r="L862" t="s">
        <v>23</v>
      </c>
      <c r="M862" t="str">
        <f t="shared" si="107"/>
        <v>1</v>
      </c>
      <c r="O862" t="str">
        <f>CONCATENATE("8 ","")</f>
        <v>8 </v>
      </c>
      <c r="P862">
        <v>51.55</v>
      </c>
      <c r="Q862" t="s">
        <v>24</v>
      </c>
    </row>
    <row r="863" spans="1:17" ht="15">
      <c r="A863" t="s">
        <v>17</v>
      </c>
      <c r="B863" s="1">
        <v>43152</v>
      </c>
      <c r="C863" t="s">
        <v>1492</v>
      </c>
      <c r="D863" t="str">
        <f>CONCATENATE("0070022290","")</f>
        <v>0070022290</v>
      </c>
      <c r="E863" t="str">
        <f>CONCATENATE("0130255000052       ","")</f>
        <v>0130255000052       </v>
      </c>
      <c r="F863" t="str">
        <f>CONCATENATE("2150291","")</f>
        <v>2150291</v>
      </c>
      <c r="G863" t="s">
        <v>1701</v>
      </c>
      <c r="H863" t="s">
        <v>1704</v>
      </c>
      <c r="I863" t="s">
        <v>1705</v>
      </c>
      <c r="J863" t="str">
        <f t="shared" si="110"/>
        <v>081302</v>
      </c>
      <c r="K863" t="s">
        <v>22</v>
      </c>
      <c r="L863" t="s">
        <v>23</v>
      </c>
      <c r="M863" t="str">
        <f t="shared" si="107"/>
        <v>1</v>
      </c>
      <c r="O863" t="str">
        <f>CONCATENATE("1 ","")</f>
        <v>1 </v>
      </c>
      <c r="P863">
        <v>13.2</v>
      </c>
      <c r="Q863" t="s">
        <v>24</v>
      </c>
    </row>
    <row r="864" spans="1:17" ht="15">
      <c r="A864" t="s">
        <v>17</v>
      </c>
      <c r="B864" s="1">
        <v>43152</v>
      </c>
      <c r="C864" t="s">
        <v>1492</v>
      </c>
      <c r="D864" t="str">
        <f>CONCATENATE("0070012140","")</f>
        <v>0070012140</v>
      </c>
      <c r="E864" t="str">
        <f>CONCATENATE("0130255000054       ","")</f>
        <v>0130255000054       </v>
      </c>
      <c r="F864" t="str">
        <f>CONCATENATE("606084051","")</f>
        <v>606084051</v>
      </c>
      <c r="G864" t="s">
        <v>1701</v>
      </c>
      <c r="H864" t="s">
        <v>1706</v>
      </c>
      <c r="I864" t="s">
        <v>1707</v>
      </c>
      <c r="J864" t="str">
        <f t="shared" si="110"/>
        <v>081302</v>
      </c>
      <c r="K864" t="s">
        <v>22</v>
      </c>
      <c r="L864" t="s">
        <v>23</v>
      </c>
      <c r="M864" t="str">
        <f t="shared" si="107"/>
        <v>1</v>
      </c>
      <c r="O864" t="str">
        <f>CONCATENATE("3 ","")</f>
        <v>3 </v>
      </c>
      <c r="P864">
        <v>49.05</v>
      </c>
      <c r="Q864" t="s">
        <v>24</v>
      </c>
    </row>
    <row r="865" spans="1:17" ht="15">
      <c r="A865" t="s">
        <v>17</v>
      </c>
      <c r="B865" s="1">
        <v>43152</v>
      </c>
      <c r="C865" t="s">
        <v>1492</v>
      </c>
      <c r="D865" t="str">
        <f>CONCATENATE("0070008503","")</f>
        <v>0070008503</v>
      </c>
      <c r="E865" t="str">
        <f>CONCATENATE("0130255000065       ","")</f>
        <v>0130255000065       </v>
      </c>
      <c r="F865" t="str">
        <f>CONCATENATE("605156571","")</f>
        <v>605156571</v>
      </c>
      <c r="G865" t="s">
        <v>1701</v>
      </c>
      <c r="H865" t="s">
        <v>1708</v>
      </c>
      <c r="I865" t="s">
        <v>1709</v>
      </c>
      <c r="J865" t="str">
        <f t="shared" si="110"/>
        <v>081302</v>
      </c>
      <c r="K865" t="s">
        <v>22</v>
      </c>
      <c r="L865" t="s">
        <v>23</v>
      </c>
      <c r="M865" t="str">
        <f t="shared" si="107"/>
        <v>1</v>
      </c>
      <c r="O865" t="str">
        <f aca="true" t="shared" si="111" ref="O865:O874">CONCATENATE("1 ","")</f>
        <v>1 </v>
      </c>
      <c r="P865">
        <v>24.5</v>
      </c>
      <c r="Q865" t="s">
        <v>24</v>
      </c>
    </row>
    <row r="866" spans="1:17" ht="15">
      <c r="A866" t="s">
        <v>17</v>
      </c>
      <c r="B866" s="1">
        <v>43152</v>
      </c>
      <c r="C866" t="s">
        <v>1492</v>
      </c>
      <c r="D866" t="str">
        <f>CONCATENATE("0070008505","")</f>
        <v>0070008505</v>
      </c>
      <c r="E866" t="str">
        <f>CONCATENATE("0130255000080       ","")</f>
        <v>0130255000080       </v>
      </c>
      <c r="F866" t="str">
        <f>CONCATENATE("605283128","")</f>
        <v>605283128</v>
      </c>
      <c r="G866" t="s">
        <v>1701</v>
      </c>
      <c r="H866" t="s">
        <v>1710</v>
      </c>
      <c r="I866" t="s">
        <v>1711</v>
      </c>
      <c r="J866" t="str">
        <f t="shared" si="110"/>
        <v>081302</v>
      </c>
      <c r="K866" t="s">
        <v>22</v>
      </c>
      <c r="L866" t="s">
        <v>23</v>
      </c>
      <c r="M866" t="str">
        <f t="shared" si="107"/>
        <v>1</v>
      </c>
      <c r="O866" t="str">
        <f t="shared" si="111"/>
        <v>1 </v>
      </c>
      <c r="P866">
        <v>11.3</v>
      </c>
      <c r="Q866" t="s">
        <v>24</v>
      </c>
    </row>
    <row r="867" spans="1:17" ht="15">
      <c r="A867" t="s">
        <v>17</v>
      </c>
      <c r="B867" s="1">
        <v>43152</v>
      </c>
      <c r="C867" t="s">
        <v>1492</v>
      </c>
      <c r="D867" t="str">
        <f>CONCATENATE("0070009989","")</f>
        <v>0070009989</v>
      </c>
      <c r="E867" t="str">
        <f>CONCATENATE("0130255000215       ","")</f>
        <v>0130255000215       </v>
      </c>
      <c r="F867" t="str">
        <f>CONCATENATE("605748908","")</f>
        <v>605748908</v>
      </c>
      <c r="G867" t="s">
        <v>1701</v>
      </c>
      <c r="H867" t="s">
        <v>1712</v>
      </c>
      <c r="I867" t="s">
        <v>1713</v>
      </c>
      <c r="J867" t="str">
        <f t="shared" si="110"/>
        <v>081302</v>
      </c>
      <c r="K867" t="s">
        <v>22</v>
      </c>
      <c r="L867" t="s">
        <v>23</v>
      </c>
      <c r="M867" t="str">
        <f t="shared" si="107"/>
        <v>1</v>
      </c>
      <c r="O867" t="str">
        <f t="shared" si="111"/>
        <v>1 </v>
      </c>
      <c r="P867">
        <v>25.05</v>
      </c>
      <c r="Q867" t="s">
        <v>24</v>
      </c>
    </row>
    <row r="868" spans="1:17" ht="15">
      <c r="A868" t="s">
        <v>17</v>
      </c>
      <c r="B868" s="1">
        <v>43152</v>
      </c>
      <c r="C868" t="s">
        <v>1492</v>
      </c>
      <c r="D868" t="str">
        <f>CONCATENATE("0070015873","")</f>
        <v>0070015873</v>
      </c>
      <c r="E868" t="str">
        <f>CONCATENATE("0130265000015       ","")</f>
        <v>0130265000015       </v>
      </c>
      <c r="F868" t="str">
        <f>CONCATENATE("607431170","")</f>
        <v>607431170</v>
      </c>
      <c r="G868" t="s">
        <v>1714</v>
      </c>
      <c r="H868" t="s">
        <v>1715</v>
      </c>
      <c r="I868" t="s">
        <v>1716</v>
      </c>
      <c r="J868" t="str">
        <f t="shared" si="110"/>
        <v>081302</v>
      </c>
      <c r="K868" t="s">
        <v>22</v>
      </c>
      <c r="L868" t="s">
        <v>23</v>
      </c>
      <c r="M868" t="str">
        <f>CONCATENATE("3","")</f>
        <v>3</v>
      </c>
      <c r="O868" t="str">
        <f t="shared" si="111"/>
        <v>1 </v>
      </c>
      <c r="P868">
        <v>50.6</v>
      </c>
      <c r="Q868" t="s">
        <v>51</v>
      </c>
    </row>
    <row r="869" spans="1:17" ht="15">
      <c r="A869" t="s">
        <v>17</v>
      </c>
      <c r="B869" s="1">
        <v>43152</v>
      </c>
      <c r="C869" t="s">
        <v>1492</v>
      </c>
      <c r="D869" t="str">
        <f>CONCATENATE("0070008556","")</f>
        <v>0070008556</v>
      </c>
      <c r="E869" t="str">
        <f>CONCATENATE("0130265000220       ","")</f>
        <v>0130265000220       </v>
      </c>
      <c r="F869" t="str">
        <f>CONCATENATE("605275003","")</f>
        <v>605275003</v>
      </c>
      <c r="G869" t="s">
        <v>1714</v>
      </c>
      <c r="H869" t="s">
        <v>1717</v>
      </c>
      <c r="I869" t="s">
        <v>1718</v>
      </c>
      <c r="J869" t="str">
        <f t="shared" si="110"/>
        <v>081302</v>
      </c>
      <c r="K869" t="s">
        <v>22</v>
      </c>
      <c r="L869" t="s">
        <v>23</v>
      </c>
      <c r="M869" t="str">
        <f aca="true" t="shared" si="112" ref="M869:M876">CONCATENATE("1","")</f>
        <v>1</v>
      </c>
      <c r="O869" t="str">
        <f t="shared" si="111"/>
        <v>1 </v>
      </c>
      <c r="P869">
        <v>41.05</v>
      </c>
      <c r="Q869" t="s">
        <v>24</v>
      </c>
    </row>
    <row r="870" spans="1:17" ht="15">
      <c r="A870" t="s">
        <v>17</v>
      </c>
      <c r="B870" s="1">
        <v>43152</v>
      </c>
      <c r="C870" t="s">
        <v>1492</v>
      </c>
      <c r="D870" t="str">
        <f>CONCATENATE("0070008574","")</f>
        <v>0070008574</v>
      </c>
      <c r="E870" t="str">
        <f>CONCATENATE("0130265000362       ","")</f>
        <v>0130265000362       </v>
      </c>
      <c r="F870" t="str">
        <f>CONCATENATE("606930983","")</f>
        <v>606930983</v>
      </c>
      <c r="G870" t="s">
        <v>1714</v>
      </c>
      <c r="H870" t="s">
        <v>1719</v>
      </c>
      <c r="I870" t="s">
        <v>1718</v>
      </c>
      <c r="J870" t="str">
        <f t="shared" si="110"/>
        <v>081302</v>
      </c>
      <c r="K870" t="s">
        <v>22</v>
      </c>
      <c r="L870" t="s">
        <v>23</v>
      </c>
      <c r="M870" t="str">
        <f t="shared" si="112"/>
        <v>1</v>
      </c>
      <c r="O870" t="str">
        <f t="shared" si="111"/>
        <v>1 </v>
      </c>
      <c r="P870">
        <v>48.85</v>
      </c>
      <c r="Q870" t="s">
        <v>24</v>
      </c>
    </row>
    <row r="871" spans="1:17" ht="15">
      <c r="A871" t="s">
        <v>17</v>
      </c>
      <c r="B871" s="1">
        <v>43152</v>
      </c>
      <c r="C871" t="s">
        <v>1492</v>
      </c>
      <c r="D871" t="str">
        <f>CONCATENATE("0070008588","")</f>
        <v>0070008588</v>
      </c>
      <c r="E871" t="str">
        <f>CONCATENATE("0130270000045       ","")</f>
        <v>0130270000045       </v>
      </c>
      <c r="F871" t="str">
        <f>CONCATENATE("606930842","")</f>
        <v>606930842</v>
      </c>
      <c r="G871" t="s">
        <v>1720</v>
      </c>
      <c r="H871" t="s">
        <v>1721</v>
      </c>
      <c r="I871" t="s">
        <v>1722</v>
      </c>
      <c r="J871" t="str">
        <f t="shared" si="110"/>
        <v>081302</v>
      </c>
      <c r="K871" t="s">
        <v>22</v>
      </c>
      <c r="L871" t="s">
        <v>23</v>
      </c>
      <c r="M871" t="str">
        <f t="shared" si="112"/>
        <v>1</v>
      </c>
      <c r="O871" t="str">
        <f t="shared" si="111"/>
        <v>1 </v>
      </c>
      <c r="P871">
        <v>23.1</v>
      </c>
      <c r="Q871" t="s">
        <v>24</v>
      </c>
    </row>
    <row r="872" spans="1:17" ht="15">
      <c r="A872" t="s">
        <v>17</v>
      </c>
      <c r="B872" s="1">
        <v>43152</v>
      </c>
      <c r="C872" t="s">
        <v>1492</v>
      </c>
      <c r="D872" t="str">
        <f>CONCATENATE("0070008593","")</f>
        <v>0070008593</v>
      </c>
      <c r="E872" t="str">
        <f>CONCATENATE("0130270000081       ","")</f>
        <v>0130270000081       </v>
      </c>
      <c r="F872" t="str">
        <f>CONCATENATE("606930853","")</f>
        <v>606930853</v>
      </c>
      <c r="G872" t="s">
        <v>1720</v>
      </c>
      <c r="H872" t="s">
        <v>1723</v>
      </c>
      <c r="I872" t="s">
        <v>1722</v>
      </c>
      <c r="J872" t="str">
        <f t="shared" si="110"/>
        <v>081302</v>
      </c>
      <c r="K872" t="s">
        <v>22</v>
      </c>
      <c r="L872" t="s">
        <v>23</v>
      </c>
      <c r="M872" t="str">
        <f t="shared" si="112"/>
        <v>1</v>
      </c>
      <c r="O872" t="str">
        <f t="shared" si="111"/>
        <v>1 </v>
      </c>
      <c r="P872">
        <v>11.6</v>
      </c>
      <c r="Q872" t="s">
        <v>24</v>
      </c>
    </row>
    <row r="873" spans="1:17" ht="15">
      <c r="A873" t="s">
        <v>17</v>
      </c>
      <c r="B873" s="1">
        <v>43152</v>
      </c>
      <c r="C873" t="s">
        <v>1492</v>
      </c>
      <c r="D873" t="str">
        <f>CONCATENATE("0070015178","")</f>
        <v>0070015178</v>
      </c>
      <c r="E873" t="str">
        <f>CONCATENATE("0130270000175       ","")</f>
        <v>0130270000175       </v>
      </c>
      <c r="F873" t="str">
        <f>CONCATENATE("607292321","")</f>
        <v>607292321</v>
      </c>
      <c r="G873" t="s">
        <v>1720</v>
      </c>
      <c r="H873" t="s">
        <v>1724</v>
      </c>
      <c r="I873" t="s">
        <v>1725</v>
      </c>
      <c r="J873" t="str">
        <f t="shared" si="110"/>
        <v>081302</v>
      </c>
      <c r="K873" t="s">
        <v>22</v>
      </c>
      <c r="L873" t="s">
        <v>23</v>
      </c>
      <c r="M873" t="str">
        <f t="shared" si="112"/>
        <v>1</v>
      </c>
      <c r="O873" t="str">
        <f t="shared" si="111"/>
        <v>1 </v>
      </c>
      <c r="P873">
        <v>48.95</v>
      </c>
      <c r="Q873" t="s">
        <v>24</v>
      </c>
    </row>
    <row r="874" spans="1:17" ht="15">
      <c r="A874" t="s">
        <v>17</v>
      </c>
      <c r="B874" s="1">
        <v>43152</v>
      </c>
      <c r="C874" t="s">
        <v>1492</v>
      </c>
      <c r="D874" t="str">
        <f>CONCATENATE("0070008606","")</f>
        <v>0070008606</v>
      </c>
      <c r="E874" t="str">
        <f>CONCATENATE("0130270000180       ","")</f>
        <v>0130270000180       </v>
      </c>
      <c r="F874" t="str">
        <f>CONCATENATE("605283127","")</f>
        <v>605283127</v>
      </c>
      <c r="G874" t="s">
        <v>1720</v>
      </c>
      <c r="H874" t="s">
        <v>1726</v>
      </c>
      <c r="I874" t="s">
        <v>1722</v>
      </c>
      <c r="J874" t="str">
        <f t="shared" si="110"/>
        <v>081302</v>
      </c>
      <c r="K874" t="s">
        <v>22</v>
      </c>
      <c r="L874" t="s">
        <v>23</v>
      </c>
      <c r="M874" t="str">
        <f t="shared" si="112"/>
        <v>1</v>
      </c>
      <c r="O874" t="str">
        <f t="shared" si="111"/>
        <v>1 </v>
      </c>
      <c r="P874">
        <v>22.25</v>
      </c>
      <c r="Q874" t="s">
        <v>24</v>
      </c>
    </row>
    <row r="875" spans="1:17" ht="15">
      <c r="A875" t="s">
        <v>17</v>
      </c>
      <c r="B875" s="1">
        <v>43152</v>
      </c>
      <c r="C875" t="s">
        <v>1492</v>
      </c>
      <c r="D875" t="str">
        <f>CONCATENATE("0070016492","")</f>
        <v>0070016492</v>
      </c>
      <c r="E875" t="str">
        <f>CONCATENATE("0130270000215       ","")</f>
        <v>0130270000215       </v>
      </c>
      <c r="F875" t="str">
        <f>CONCATENATE("606907914","")</f>
        <v>606907914</v>
      </c>
      <c r="G875" t="s">
        <v>1720</v>
      </c>
      <c r="H875" t="s">
        <v>1727</v>
      </c>
      <c r="I875" t="s">
        <v>1728</v>
      </c>
      <c r="J875" t="str">
        <f t="shared" si="110"/>
        <v>081302</v>
      </c>
      <c r="K875" t="s">
        <v>22</v>
      </c>
      <c r="L875" t="s">
        <v>23</v>
      </c>
      <c r="M875" t="str">
        <f t="shared" si="112"/>
        <v>1</v>
      </c>
      <c r="O875" t="str">
        <f>CONCATENATE("4 ","")</f>
        <v>4 </v>
      </c>
      <c r="P875">
        <v>87.55</v>
      </c>
      <c r="Q875" t="s">
        <v>24</v>
      </c>
    </row>
    <row r="876" spans="1:17" ht="15">
      <c r="A876" t="s">
        <v>17</v>
      </c>
      <c r="B876" s="1">
        <v>43152</v>
      </c>
      <c r="C876" t="s">
        <v>1492</v>
      </c>
      <c r="D876" t="str">
        <f>CONCATENATE("0070008638","")</f>
        <v>0070008638</v>
      </c>
      <c r="E876" t="str">
        <f>CONCATENATE("0130275000100       ","")</f>
        <v>0130275000100       </v>
      </c>
      <c r="F876" t="str">
        <f>CONCATENATE("606670789","")</f>
        <v>606670789</v>
      </c>
      <c r="G876" t="s">
        <v>1729</v>
      </c>
      <c r="H876" t="s">
        <v>1730</v>
      </c>
      <c r="I876" t="s">
        <v>1731</v>
      </c>
      <c r="J876" t="str">
        <f t="shared" si="110"/>
        <v>081302</v>
      </c>
      <c r="K876" t="s">
        <v>22</v>
      </c>
      <c r="L876" t="s">
        <v>23</v>
      </c>
      <c r="M876" t="str">
        <f t="shared" si="112"/>
        <v>1</v>
      </c>
      <c r="O876" t="str">
        <f>CONCATENATE("1 ","")</f>
        <v>1 </v>
      </c>
      <c r="P876">
        <v>49.3</v>
      </c>
      <c r="Q876" t="s">
        <v>24</v>
      </c>
    </row>
    <row r="877" spans="1:17" ht="15">
      <c r="A877" t="s">
        <v>17</v>
      </c>
      <c r="B877" s="1">
        <v>43152</v>
      </c>
      <c r="C877" t="s">
        <v>1492</v>
      </c>
      <c r="D877" t="str">
        <f>CONCATENATE("0070010847","")</f>
        <v>0070010847</v>
      </c>
      <c r="E877" t="str">
        <f>CONCATENATE("0130275000132       ","")</f>
        <v>0130275000132       </v>
      </c>
      <c r="F877" t="str">
        <f>CONCATENATE("607428905","")</f>
        <v>607428905</v>
      </c>
      <c r="G877" t="s">
        <v>1729</v>
      </c>
      <c r="H877" t="s">
        <v>1732</v>
      </c>
      <c r="I877" t="s">
        <v>1733</v>
      </c>
      <c r="J877" t="str">
        <f t="shared" si="110"/>
        <v>081302</v>
      </c>
      <c r="K877" t="s">
        <v>22</v>
      </c>
      <c r="L877" t="s">
        <v>23</v>
      </c>
      <c r="M877" t="str">
        <f>CONCATENATE("4","")</f>
        <v>4</v>
      </c>
      <c r="O877" t="str">
        <f>CONCATENATE("1 ","")</f>
        <v>1 </v>
      </c>
      <c r="P877">
        <v>492.95</v>
      </c>
      <c r="Q877" t="s">
        <v>51</v>
      </c>
    </row>
    <row r="878" spans="1:17" ht="15">
      <c r="A878" t="s">
        <v>17</v>
      </c>
      <c r="B878" s="1">
        <v>43152</v>
      </c>
      <c r="C878" t="s">
        <v>1492</v>
      </c>
      <c r="D878" t="str">
        <f>CONCATENATE("0070022814","")</f>
        <v>0070022814</v>
      </c>
      <c r="E878" t="str">
        <f>CONCATENATE("0130275000225       ","")</f>
        <v>0130275000225       </v>
      </c>
      <c r="F878" t="str">
        <f>CONCATENATE("2182120","")</f>
        <v>2182120</v>
      </c>
      <c r="G878" t="s">
        <v>1734</v>
      </c>
      <c r="H878" t="s">
        <v>1735</v>
      </c>
      <c r="I878" t="s">
        <v>1736</v>
      </c>
      <c r="J878" t="str">
        <f t="shared" si="110"/>
        <v>081302</v>
      </c>
      <c r="K878" t="s">
        <v>22</v>
      </c>
      <c r="L878" t="s">
        <v>23</v>
      </c>
      <c r="M878" t="str">
        <f aca="true" t="shared" si="113" ref="M878:M885">CONCATENATE("1","")</f>
        <v>1</v>
      </c>
      <c r="O878" t="str">
        <f>CONCATENATE("1 ","")</f>
        <v>1 </v>
      </c>
      <c r="P878">
        <v>21.95</v>
      </c>
      <c r="Q878" t="s">
        <v>24</v>
      </c>
    </row>
    <row r="879" spans="1:17" ht="15">
      <c r="A879" t="s">
        <v>17</v>
      </c>
      <c r="B879" s="1">
        <v>43152</v>
      </c>
      <c r="C879" t="s">
        <v>1492</v>
      </c>
      <c r="D879" t="str">
        <f>CONCATENATE("0070008661","")</f>
        <v>0070008661</v>
      </c>
      <c r="E879" t="str">
        <f>CONCATENATE("0130275000340       ","")</f>
        <v>0130275000340       </v>
      </c>
      <c r="F879" t="str">
        <f>CONCATENATE("606747043","")</f>
        <v>606747043</v>
      </c>
      <c r="G879" t="s">
        <v>1734</v>
      </c>
      <c r="H879" t="s">
        <v>1737</v>
      </c>
      <c r="I879" t="s">
        <v>1731</v>
      </c>
      <c r="J879" t="str">
        <f t="shared" si="110"/>
        <v>081302</v>
      </c>
      <c r="K879" t="s">
        <v>22</v>
      </c>
      <c r="L879" t="s">
        <v>23</v>
      </c>
      <c r="M879" t="str">
        <f t="shared" si="113"/>
        <v>1</v>
      </c>
      <c r="O879" t="str">
        <f>CONCATENATE("4 ","")</f>
        <v>4 </v>
      </c>
      <c r="P879">
        <v>172.05</v>
      </c>
      <c r="Q879" t="s">
        <v>24</v>
      </c>
    </row>
    <row r="880" spans="1:17" ht="15">
      <c r="A880" t="s">
        <v>17</v>
      </c>
      <c r="B880" s="1">
        <v>43152</v>
      </c>
      <c r="C880" t="s">
        <v>1492</v>
      </c>
      <c r="D880" t="str">
        <f>CONCATENATE("0070008668","")</f>
        <v>0070008668</v>
      </c>
      <c r="E880" t="str">
        <f>CONCATENATE("0130275000420       ","")</f>
        <v>0130275000420       </v>
      </c>
      <c r="F880" t="str">
        <f>CONCATENATE("605275008","")</f>
        <v>605275008</v>
      </c>
      <c r="G880" t="s">
        <v>1734</v>
      </c>
      <c r="H880" t="s">
        <v>1738</v>
      </c>
      <c r="I880" t="s">
        <v>1731</v>
      </c>
      <c r="J880" t="str">
        <f t="shared" si="110"/>
        <v>081302</v>
      </c>
      <c r="K880" t="s">
        <v>22</v>
      </c>
      <c r="L880" t="s">
        <v>23</v>
      </c>
      <c r="M880" t="str">
        <f t="shared" si="113"/>
        <v>1</v>
      </c>
      <c r="O880" t="str">
        <f>CONCATENATE("4 ","")</f>
        <v>4 </v>
      </c>
      <c r="P880">
        <v>54.35</v>
      </c>
      <c r="Q880" t="s">
        <v>24</v>
      </c>
    </row>
    <row r="881" spans="1:17" ht="15">
      <c r="A881" t="s">
        <v>17</v>
      </c>
      <c r="B881" s="1">
        <v>43152</v>
      </c>
      <c r="C881" t="s">
        <v>1492</v>
      </c>
      <c r="D881" t="str">
        <f>CONCATENATE("0070008671","")</f>
        <v>0070008671</v>
      </c>
      <c r="E881" t="str">
        <f>CONCATENATE("0130275000450       ","")</f>
        <v>0130275000450       </v>
      </c>
      <c r="F881" t="str">
        <f>CONCATENATE("1937812","")</f>
        <v>1937812</v>
      </c>
      <c r="G881" t="s">
        <v>1734</v>
      </c>
      <c r="H881" t="s">
        <v>1739</v>
      </c>
      <c r="I881" t="s">
        <v>1731</v>
      </c>
      <c r="J881" t="str">
        <f t="shared" si="110"/>
        <v>081302</v>
      </c>
      <c r="K881" t="s">
        <v>22</v>
      </c>
      <c r="L881" t="s">
        <v>23</v>
      </c>
      <c r="M881" t="str">
        <f t="shared" si="113"/>
        <v>1</v>
      </c>
      <c r="O881" t="str">
        <f>CONCATENATE("4 ","")</f>
        <v>4 </v>
      </c>
      <c r="P881">
        <v>139.5</v>
      </c>
      <c r="Q881" t="s">
        <v>24</v>
      </c>
    </row>
    <row r="882" spans="1:17" ht="15">
      <c r="A882" t="s">
        <v>17</v>
      </c>
      <c r="B882" s="1">
        <v>43152</v>
      </c>
      <c r="C882" t="s">
        <v>1492</v>
      </c>
      <c r="D882" t="str">
        <f>CONCATENATE("0070008681","")</f>
        <v>0070008681</v>
      </c>
      <c r="E882" t="str">
        <f>CONCATENATE("0130275000590       ","")</f>
        <v>0130275000590       </v>
      </c>
      <c r="F882" t="str">
        <f>CONCATENATE("605085697","")</f>
        <v>605085697</v>
      </c>
      <c r="G882" t="s">
        <v>1740</v>
      </c>
      <c r="H882" t="s">
        <v>1741</v>
      </c>
      <c r="I882" t="s">
        <v>1731</v>
      </c>
      <c r="J882" t="str">
        <f t="shared" si="110"/>
        <v>081302</v>
      </c>
      <c r="K882" t="s">
        <v>22</v>
      </c>
      <c r="L882" t="s">
        <v>23</v>
      </c>
      <c r="M882" t="str">
        <f t="shared" si="113"/>
        <v>1</v>
      </c>
      <c r="O882" t="str">
        <f>CONCATENATE("1 ","")</f>
        <v>1 </v>
      </c>
      <c r="P882">
        <v>28.15</v>
      </c>
      <c r="Q882" t="s">
        <v>24</v>
      </c>
    </row>
    <row r="883" spans="1:17" ht="15">
      <c r="A883" t="s">
        <v>17</v>
      </c>
      <c r="B883" s="1">
        <v>43152</v>
      </c>
      <c r="C883" t="s">
        <v>1492</v>
      </c>
      <c r="D883" t="str">
        <f>CONCATENATE("0070011213","")</f>
        <v>0070011213</v>
      </c>
      <c r="E883" t="str">
        <f>CONCATENATE("0130275000610       ","")</f>
        <v>0130275000610       </v>
      </c>
      <c r="F883" t="str">
        <f>CONCATENATE("605773002","")</f>
        <v>605773002</v>
      </c>
      <c r="G883" t="s">
        <v>1740</v>
      </c>
      <c r="H883" t="s">
        <v>1742</v>
      </c>
      <c r="I883" t="s">
        <v>1743</v>
      </c>
      <c r="J883" t="str">
        <f t="shared" si="110"/>
        <v>081302</v>
      </c>
      <c r="K883" t="s">
        <v>22</v>
      </c>
      <c r="L883" t="s">
        <v>23</v>
      </c>
      <c r="M883" t="str">
        <f t="shared" si="113"/>
        <v>1</v>
      </c>
      <c r="O883" t="str">
        <f>CONCATENATE("2 ","")</f>
        <v>2 </v>
      </c>
      <c r="P883">
        <v>19.65</v>
      </c>
      <c r="Q883" t="s">
        <v>24</v>
      </c>
    </row>
    <row r="884" spans="1:17" ht="15">
      <c r="A884" t="s">
        <v>17</v>
      </c>
      <c r="B884" s="1">
        <v>43152</v>
      </c>
      <c r="C884" t="s">
        <v>1492</v>
      </c>
      <c r="D884" t="str">
        <f>CONCATENATE("0070008694","")</f>
        <v>0070008694</v>
      </c>
      <c r="E884" t="str">
        <f>CONCATENATE("0130275000740       ","")</f>
        <v>0130275000740       </v>
      </c>
      <c r="F884" t="str">
        <f>CONCATENATE("606898018","")</f>
        <v>606898018</v>
      </c>
      <c r="G884" t="s">
        <v>1740</v>
      </c>
      <c r="H884" t="s">
        <v>1744</v>
      </c>
      <c r="I884" t="s">
        <v>1731</v>
      </c>
      <c r="J884" t="str">
        <f t="shared" si="110"/>
        <v>081302</v>
      </c>
      <c r="K884" t="s">
        <v>22</v>
      </c>
      <c r="L884" t="s">
        <v>23</v>
      </c>
      <c r="M884" t="str">
        <f t="shared" si="113"/>
        <v>1</v>
      </c>
      <c r="O884" t="str">
        <f>CONCATENATE("2 ","")</f>
        <v>2 </v>
      </c>
      <c r="P884">
        <v>33</v>
      </c>
      <c r="Q884" t="s">
        <v>24</v>
      </c>
    </row>
    <row r="885" spans="1:17" ht="15">
      <c r="A885" t="s">
        <v>17</v>
      </c>
      <c r="B885" s="1">
        <v>43152</v>
      </c>
      <c r="C885" t="s">
        <v>1492</v>
      </c>
      <c r="D885" t="str">
        <f>CONCATENATE("0070007698","")</f>
        <v>0070007698</v>
      </c>
      <c r="E885" t="str">
        <f>CONCATENATE("0130275001550       ","")</f>
        <v>0130275001550       </v>
      </c>
      <c r="F885" t="str">
        <f>CONCATENATE("605274318","")</f>
        <v>605274318</v>
      </c>
      <c r="G885" t="s">
        <v>1729</v>
      </c>
      <c r="H885" t="s">
        <v>1745</v>
      </c>
      <c r="I885" t="s">
        <v>1746</v>
      </c>
      <c r="J885" t="str">
        <f t="shared" si="110"/>
        <v>081302</v>
      </c>
      <c r="K885" t="s">
        <v>22</v>
      </c>
      <c r="L885" t="s">
        <v>23</v>
      </c>
      <c r="M885" t="str">
        <f t="shared" si="113"/>
        <v>1</v>
      </c>
      <c r="O885" t="str">
        <f>CONCATENATE("1 ","")</f>
        <v>1 </v>
      </c>
      <c r="P885">
        <v>201.6</v>
      </c>
      <c r="Q885" t="s">
        <v>24</v>
      </c>
    </row>
    <row r="886" spans="1:17" ht="15">
      <c r="A886" t="s">
        <v>17</v>
      </c>
      <c r="B886" s="1">
        <v>43152</v>
      </c>
      <c r="C886" t="s">
        <v>1492</v>
      </c>
      <c r="D886" t="str">
        <f>CONCATENATE("0070023732","")</f>
        <v>0070023732</v>
      </c>
      <c r="E886" t="str">
        <f>CONCATENATE("0130276000029       ","")</f>
        <v>0130276000029       </v>
      </c>
      <c r="F886" t="str">
        <f>CONCATENATE("1680283","")</f>
        <v>1680283</v>
      </c>
      <c r="G886" t="s">
        <v>1747</v>
      </c>
      <c r="H886" t="s">
        <v>1748</v>
      </c>
      <c r="I886" t="s">
        <v>1749</v>
      </c>
      <c r="J886" t="str">
        <f t="shared" si="110"/>
        <v>081302</v>
      </c>
      <c r="K886" t="s">
        <v>22</v>
      </c>
      <c r="L886" t="s">
        <v>23</v>
      </c>
      <c r="M886" t="str">
        <f>CONCATENATE("3","")</f>
        <v>3</v>
      </c>
      <c r="O886" t="str">
        <f>CONCATENATE("1 ","")</f>
        <v>1 </v>
      </c>
      <c r="P886">
        <v>175.8</v>
      </c>
      <c r="Q886" t="s">
        <v>51</v>
      </c>
    </row>
    <row r="887" spans="1:17" ht="15">
      <c r="A887" t="s">
        <v>17</v>
      </c>
      <c r="B887" s="1">
        <v>43152</v>
      </c>
      <c r="C887" t="s">
        <v>1492</v>
      </c>
      <c r="D887" t="str">
        <f>CONCATENATE("0070016198","")</f>
        <v>0070016198</v>
      </c>
      <c r="E887" t="str">
        <f>CONCATENATE("0130276000033       ","")</f>
        <v>0130276000033       </v>
      </c>
      <c r="F887" t="str">
        <f>CONCATENATE("606907918","")</f>
        <v>606907918</v>
      </c>
      <c r="G887" t="s">
        <v>1613</v>
      </c>
      <c r="H887" t="s">
        <v>1750</v>
      </c>
      <c r="I887" t="s">
        <v>1751</v>
      </c>
      <c r="J887" t="str">
        <f t="shared" si="110"/>
        <v>081302</v>
      </c>
      <c r="K887" t="s">
        <v>22</v>
      </c>
      <c r="L887" t="s">
        <v>23</v>
      </c>
      <c r="M887" t="str">
        <f aca="true" t="shared" si="114" ref="M887:M897">CONCATENATE("1","")</f>
        <v>1</v>
      </c>
      <c r="O887" t="str">
        <f>CONCATENATE("1 ","")</f>
        <v>1 </v>
      </c>
      <c r="P887">
        <v>63.9</v>
      </c>
      <c r="Q887" t="s">
        <v>24</v>
      </c>
    </row>
    <row r="888" spans="1:17" ht="15">
      <c r="A888" t="s">
        <v>17</v>
      </c>
      <c r="B888" s="1">
        <v>43152</v>
      </c>
      <c r="C888" t="s">
        <v>1492</v>
      </c>
      <c r="D888" t="str">
        <f>CONCATENATE("0070008735","")</f>
        <v>0070008735</v>
      </c>
      <c r="E888" t="str">
        <f>CONCATENATE("0130276000100       ","")</f>
        <v>0130276000100       </v>
      </c>
      <c r="F888" t="str">
        <f>CONCATENATE("605748905","")</f>
        <v>605748905</v>
      </c>
      <c r="G888" t="s">
        <v>1747</v>
      </c>
      <c r="H888" t="s">
        <v>1752</v>
      </c>
      <c r="I888" t="s">
        <v>1753</v>
      </c>
      <c r="J888" t="str">
        <f t="shared" si="110"/>
        <v>081302</v>
      </c>
      <c r="K888" t="s">
        <v>22</v>
      </c>
      <c r="L888" t="s">
        <v>23</v>
      </c>
      <c r="M888" t="str">
        <f t="shared" si="114"/>
        <v>1</v>
      </c>
      <c r="O888" t="str">
        <f>CONCATENATE("3 ","")</f>
        <v>3 </v>
      </c>
      <c r="P888">
        <v>28.25</v>
      </c>
      <c r="Q888" t="s">
        <v>24</v>
      </c>
    </row>
    <row r="889" spans="1:17" ht="15">
      <c r="A889" t="s">
        <v>17</v>
      </c>
      <c r="B889" s="1">
        <v>43152</v>
      </c>
      <c r="C889" t="s">
        <v>1492</v>
      </c>
      <c r="D889" t="str">
        <f>CONCATENATE("0070018505","")</f>
        <v>0070018505</v>
      </c>
      <c r="E889" t="str">
        <f>CONCATENATE("0130276000148       ","")</f>
        <v>0130276000148       </v>
      </c>
      <c r="F889" t="str">
        <f>CONCATENATE("605743189","")</f>
        <v>605743189</v>
      </c>
      <c r="G889" t="s">
        <v>1747</v>
      </c>
      <c r="H889" t="s">
        <v>1754</v>
      </c>
      <c r="I889" t="s">
        <v>1749</v>
      </c>
      <c r="J889" t="str">
        <f t="shared" si="110"/>
        <v>081302</v>
      </c>
      <c r="K889" t="s">
        <v>22</v>
      </c>
      <c r="L889" t="s">
        <v>23</v>
      </c>
      <c r="M889" t="str">
        <f t="shared" si="114"/>
        <v>1</v>
      </c>
      <c r="O889" t="str">
        <f>CONCATENATE("1 ","")</f>
        <v>1 </v>
      </c>
      <c r="P889">
        <v>72.95</v>
      </c>
      <c r="Q889" t="s">
        <v>24</v>
      </c>
    </row>
    <row r="890" spans="1:17" ht="15">
      <c r="A890" t="s">
        <v>17</v>
      </c>
      <c r="B890" s="1">
        <v>43152</v>
      </c>
      <c r="C890" t="s">
        <v>1492</v>
      </c>
      <c r="D890" t="str">
        <f>CONCATENATE("0070015297","")</f>
        <v>0070015297</v>
      </c>
      <c r="E890" t="str">
        <f>CONCATENATE("0130276000263       ","")</f>
        <v>0130276000263       </v>
      </c>
      <c r="F890" t="str">
        <f>CONCATENATE("607292328","")</f>
        <v>607292328</v>
      </c>
      <c r="G890" t="s">
        <v>1755</v>
      </c>
      <c r="H890" t="s">
        <v>1756</v>
      </c>
      <c r="I890" t="s">
        <v>1757</v>
      </c>
      <c r="J890" t="str">
        <f t="shared" si="110"/>
        <v>081302</v>
      </c>
      <c r="K890" t="s">
        <v>22</v>
      </c>
      <c r="L890" t="s">
        <v>23</v>
      </c>
      <c r="M890" t="str">
        <f t="shared" si="114"/>
        <v>1</v>
      </c>
      <c r="O890" t="str">
        <f>CONCATENATE("1 ","")</f>
        <v>1 </v>
      </c>
      <c r="P890">
        <v>21.15</v>
      </c>
      <c r="Q890" t="s">
        <v>24</v>
      </c>
    </row>
    <row r="891" spans="1:17" ht="15">
      <c r="A891" t="s">
        <v>17</v>
      </c>
      <c r="B891" s="1">
        <v>43152</v>
      </c>
      <c r="C891" t="s">
        <v>1492</v>
      </c>
      <c r="D891" t="str">
        <f>CONCATENATE("0070011810","")</f>
        <v>0070011810</v>
      </c>
      <c r="E891" t="str">
        <f>CONCATENATE("0130276000372       ","")</f>
        <v>0130276000372       </v>
      </c>
      <c r="F891" t="str">
        <f>CONCATENATE("606907958","")</f>
        <v>606907958</v>
      </c>
      <c r="G891" t="s">
        <v>1755</v>
      </c>
      <c r="H891" t="s">
        <v>1758</v>
      </c>
      <c r="I891" t="s">
        <v>1759</v>
      </c>
      <c r="J891" t="str">
        <f t="shared" si="110"/>
        <v>081302</v>
      </c>
      <c r="K891" t="s">
        <v>22</v>
      </c>
      <c r="L891" t="s">
        <v>23</v>
      </c>
      <c r="M891" t="str">
        <f t="shared" si="114"/>
        <v>1</v>
      </c>
      <c r="O891" t="str">
        <f>CONCATENATE("1 ","")</f>
        <v>1 </v>
      </c>
      <c r="P891">
        <v>88.25</v>
      </c>
      <c r="Q891" t="s">
        <v>24</v>
      </c>
    </row>
    <row r="892" spans="1:17" ht="15">
      <c r="A892" t="s">
        <v>17</v>
      </c>
      <c r="B892" s="1">
        <v>43152</v>
      </c>
      <c r="C892" t="s">
        <v>1492</v>
      </c>
      <c r="D892" t="str">
        <f>CONCATENATE("0070008772","")</f>
        <v>0070008772</v>
      </c>
      <c r="E892" t="str">
        <f>CONCATENATE("0130276000383       ","")</f>
        <v>0130276000383       </v>
      </c>
      <c r="F892" t="str">
        <f>CONCATENATE("607444979","")</f>
        <v>607444979</v>
      </c>
      <c r="G892" t="s">
        <v>1755</v>
      </c>
      <c r="H892" t="s">
        <v>1760</v>
      </c>
      <c r="I892" t="s">
        <v>1761</v>
      </c>
      <c r="J892" t="str">
        <f t="shared" si="110"/>
        <v>081302</v>
      </c>
      <c r="K892" t="s">
        <v>22</v>
      </c>
      <c r="L892" t="s">
        <v>23</v>
      </c>
      <c r="M892" t="str">
        <f t="shared" si="114"/>
        <v>1</v>
      </c>
      <c r="O892" t="str">
        <f>CONCATENATE("1 ","")</f>
        <v>1 </v>
      </c>
      <c r="P892">
        <v>34.85</v>
      </c>
      <c r="Q892" t="s">
        <v>24</v>
      </c>
    </row>
    <row r="893" spans="1:17" ht="15">
      <c r="A893" t="s">
        <v>17</v>
      </c>
      <c r="B893" s="1">
        <v>43152</v>
      </c>
      <c r="C893" t="s">
        <v>1492</v>
      </c>
      <c r="D893" t="str">
        <f>CONCATENATE("0070011014","")</f>
        <v>0070011014</v>
      </c>
      <c r="E893" t="str">
        <f>CONCATENATE("0130276000403       ","")</f>
        <v>0130276000403       </v>
      </c>
      <c r="F893" t="str">
        <f>CONCATENATE("605747200","")</f>
        <v>605747200</v>
      </c>
      <c r="G893" t="s">
        <v>1755</v>
      </c>
      <c r="H893" t="s">
        <v>1762</v>
      </c>
      <c r="I893" t="s">
        <v>1763</v>
      </c>
      <c r="J893" t="str">
        <f t="shared" si="110"/>
        <v>081302</v>
      </c>
      <c r="K893" t="s">
        <v>22</v>
      </c>
      <c r="L893" t="s">
        <v>23</v>
      </c>
      <c r="M893" t="str">
        <f t="shared" si="114"/>
        <v>1</v>
      </c>
      <c r="O893" t="str">
        <f>CONCATENATE("1 ","")</f>
        <v>1 </v>
      </c>
      <c r="P893">
        <v>31.45</v>
      </c>
      <c r="Q893" t="s">
        <v>24</v>
      </c>
    </row>
    <row r="894" spans="1:17" ht="15">
      <c r="A894" t="s">
        <v>17</v>
      </c>
      <c r="B894" s="1">
        <v>43152</v>
      </c>
      <c r="C894" t="s">
        <v>1492</v>
      </c>
      <c r="D894" t="str">
        <f>CONCATENATE("0070020899","")</f>
        <v>0070020899</v>
      </c>
      <c r="E894" t="str">
        <f>CONCATENATE("0130280000025       ","")</f>
        <v>0130280000025       </v>
      </c>
      <c r="F894" t="str">
        <f>CONCATENATE("1674569","")</f>
        <v>1674569</v>
      </c>
      <c r="G894" t="s">
        <v>1764</v>
      </c>
      <c r="H894" t="s">
        <v>1765</v>
      </c>
      <c r="I894" t="s">
        <v>1766</v>
      </c>
      <c r="J894" t="str">
        <f t="shared" si="110"/>
        <v>081302</v>
      </c>
      <c r="K894" t="s">
        <v>22</v>
      </c>
      <c r="L894" t="s">
        <v>23</v>
      </c>
      <c r="M894" t="str">
        <f t="shared" si="114"/>
        <v>1</v>
      </c>
      <c r="O894" t="str">
        <f>CONCATENATE("2 ","")</f>
        <v>2 </v>
      </c>
      <c r="P894">
        <v>33.35</v>
      </c>
      <c r="Q894" t="s">
        <v>24</v>
      </c>
    </row>
    <row r="895" spans="1:17" ht="15">
      <c r="A895" t="s">
        <v>17</v>
      </c>
      <c r="B895" s="1">
        <v>43152</v>
      </c>
      <c r="C895" t="s">
        <v>1492</v>
      </c>
      <c r="D895" t="str">
        <f>CONCATENATE("0070008831","")</f>
        <v>0070008831</v>
      </c>
      <c r="E895" t="str">
        <f>CONCATENATE("0130290000170       ","")</f>
        <v>0130290000170       </v>
      </c>
      <c r="F895" t="str">
        <f>CONCATENATE("607445202","")</f>
        <v>607445202</v>
      </c>
      <c r="G895" t="s">
        <v>1767</v>
      </c>
      <c r="H895" t="s">
        <v>1768</v>
      </c>
      <c r="I895" t="s">
        <v>1769</v>
      </c>
      <c r="J895" t="str">
        <f t="shared" si="110"/>
        <v>081302</v>
      </c>
      <c r="K895" t="s">
        <v>22</v>
      </c>
      <c r="L895" t="s">
        <v>23</v>
      </c>
      <c r="M895" t="str">
        <f t="shared" si="114"/>
        <v>1</v>
      </c>
      <c r="O895" t="str">
        <f>CONCATENATE("1 ","")</f>
        <v>1 </v>
      </c>
      <c r="P895">
        <v>170.6</v>
      </c>
      <c r="Q895" t="s">
        <v>24</v>
      </c>
    </row>
    <row r="896" spans="1:17" ht="15">
      <c r="A896" t="s">
        <v>17</v>
      </c>
      <c r="B896" s="1">
        <v>43152</v>
      </c>
      <c r="C896" t="s">
        <v>1492</v>
      </c>
      <c r="D896" t="str">
        <f>CONCATENATE("0070008836","")</f>
        <v>0070008836</v>
      </c>
      <c r="E896" t="str">
        <f>CONCATENATE("0130290000230       ","")</f>
        <v>0130290000230       </v>
      </c>
      <c r="F896" t="str">
        <f>CONCATENATE("605274492","")</f>
        <v>605274492</v>
      </c>
      <c r="G896" t="s">
        <v>1767</v>
      </c>
      <c r="H896" t="s">
        <v>1770</v>
      </c>
      <c r="I896" t="s">
        <v>1769</v>
      </c>
      <c r="J896" t="str">
        <f t="shared" si="110"/>
        <v>081302</v>
      </c>
      <c r="K896" t="s">
        <v>22</v>
      </c>
      <c r="L896" t="s">
        <v>23</v>
      </c>
      <c r="M896" t="str">
        <f t="shared" si="114"/>
        <v>1</v>
      </c>
      <c r="O896" t="str">
        <f>CONCATENATE("1 ","")</f>
        <v>1 </v>
      </c>
      <c r="P896">
        <v>23.8</v>
      </c>
      <c r="Q896" t="s">
        <v>24</v>
      </c>
    </row>
    <row r="897" spans="1:17" ht="15">
      <c r="A897" t="s">
        <v>17</v>
      </c>
      <c r="B897" s="1">
        <v>43152</v>
      </c>
      <c r="C897" t="s">
        <v>1492</v>
      </c>
      <c r="D897" t="str">
        <f>CONCATENATE("0070008841","")</f>
        <v>0070008841</v>
      </c>
      <c r="E897" t="str">
        <f>CONCATENATE("0130290000280       ","")</f>
        <v>0130290000280       </v>
      </c>
      <c r="F897" t="str">
        <f>CONCATENATE("605087509","")</f>
        <v>605087509</v>
      </c>
      <c r="G897" t="s">
        <v>1767</v>
      </c>
      <c r="H897" t="s">
        <v>1771</v>
      </c>
      <c r="I897" t="s">
        <v>1769</v>
      </c>
      <c r="J897" t="str">
        <f t="shared" si="110"/>
        <v>081302</v>
      </c>
      <c r="K897" t="s">
        <v>22</v>
      </c>
      <c r="L897" t="s">
        <v>23</v>
      </c>
      <c r="M897" t="str">
        <f t="shared" si="114"/>
        <v>1</v>
      </c>
      <c r="O897" t="str">
        <f>CONCATENATE("1 ","")</f>
        <v>1 </v>
      </c>
      <c r="P897">
        <v>28.4</v>
      </c>
      <c r="Q897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Flores Misari</dc:creator>
  <cp:keywords/>
  <dc:description/>
  <cp:lastModifiedBy>Antonio Venero Alonso</cp:lastModifiedBy>
  <dcterms:created xsi:type="dcterms:W3CDTF">2018-02-21T21:44:26Z</dcterms:created>
  <dcterms:modified xsi:type="dcterms:W3CDTF">2018-02-22T17:59:41Z</dcterms:modified>
  <cp:category/>
  <cp:version/>
  <cp:contentType/>
  <cp:contentStatus/>
</cp:coreProperties>
</file>