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201406_CORTES_SICUANI" sheetId="1" r:id="rId1"/>
  </sheets>
  <definedNames>
    <definedName name="_xlnm._FilterDatabase" localSheetId="0" hidden="1">'201406_CORTES_SICUANI'!$A$1:$Q$805</definedName>
  </definedNames>
  <calcPr fullCalcOnLoad="1"/>
</workbook>
</file>

<file path=xl/sharedStrings.xml><?xml version="1.0" encoding="utf-8"?>
<sst xmlns="http://schemas.openxmlformats.org/spreadsheetml/2006/main" count="6439" uniqueCount="1703">
  <si>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</si>
  <si>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</si>
  <si>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</si>
  <si>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</si>
  <si>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</si>
  <si>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</si>
  <si>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</si>
  <si>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</si>
  <si>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</si>
  <si>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</si>
  <si>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</si>
  <si>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</si>
  <si>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</si>
  <si>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</si>
  <si>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</si>
  <si>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</si>
  <si>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</si>
  <si>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</si>
  <si>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KUNTURKANKI</t>
  </si>
  <si>
    <t>SI011417</t>
  </si>
  <si>
    <t>ZARATE-MENDOZA--CORNELIO</t>
  </si>
  <si>
    <t>CUCHUCHO-II</t>
  </si>
  <si>
    <t>BT5B</t>
  </si>
  <si>
    <t>Aerea</t>
  </si>
  <si>
    <t>CRBTA11</t>
  </si>
  <si>
    <t>SI011463</t>
  </si>
  <si>
    <t>CAHUATA-CABALLERO--SIXTO-BONIF</t>
  </si>
  <si>
    <t>HUAYLLANTIRA</t>
  </si>
  <si>
    <t>SI011466</t>
  </si>
  <si>
    <t>CHIRME-MAMANI--JULIO-MACARIO</t>
  </si>
  <si>
    <t>BAJO-HUAROCCONI</t>
  </si>
  <si>
    <t>SI011329</t>
  </si>
  <si>
    <t>MAMANI-POZO--BRAULIO</t>
  </si>
  <si>
    <t>ALTO-NEVADO</t>
  </si>
  <si>
    <t>SI011500</t>
  </si>
  <si>
    <t>HUALLPA-PUMA--SANTIAGO</t>
  </si>
  <si>
    <t>LAURAYANI-2</t>
  </si>
  <si>
    <t>SI011337</t>
  </si>
  <si>
    <t>HUANCCO-SUNI--GIL</t>
  </si>
  <si>
    <t>PAMPA-CHULLA</t>
  </si>
  <si>
    <t>SI011246</t>
  </si>
  <si>
    <t>HUAYLLA-SAICO--ANTONIO</t>
  </si>
  <si>
    <t>TOMARAYA</t>
  </si>
  <si>
    <t>CHECCA</t>
  </si>
  <si>
    <t>SI011277</t>
  </si>
  <si>
    <t>CHINO-CHOQUENAIRA--GUALBERTO</t>
  </si>
  <si>
    <t>SAN-JUAN</t>
  </si>
  <si>
    <t>SI011458</t>
  </si>
  <si>
    <t>QUISPE-MAMANI--GENARA-ENRIQUET</t>
  </si>
  <si>
    <t>CHOSECANI-COM--VILCAMARCA</t>
  </si>
  <si>
    <t>LANGUI</t>
  </si>
  <si>
    <t>SI010757</t>
  </si>
  <si>
    <t>COMUNAL-SACHAPARA--LOCAL</t>
  </si>
  <si>
    <t>SACHAPARA-S-N</t>
  </si>
  <si>
    <t>SI010520</t>
  </si>
  <si>
    <t>HERMOSA-A-IGNACIO</t>
  </si>
  <si>
    <t>CHACCOPATA-S-N</t>
  </si>
  <si>
    <t>SI010532</t>
  </si>
  <si>
    <t>PARROQUIA-CONDE-VILUYO</t>
  </si>
  <si>
    <t>CONDE-VILUYO-S-N</t>
  </si>
  <si>
    <t>CASA-COMUNAL-CONDE-VILUYO</t>
  </si>
  <si>
    <t>BUSTAMANTE-CHAMPI--GERMINA-JUS</t>
  </si>
  <si>
    <t>COM--CONDEVIUYO-III-SED-535</t>
  </si>
  <si>
    <t>SI010529</t>
  </si>
  <si>
    <t>MAMANI-CHAMPI--TIBURCIO</t>
  </si>
  <si>
    <t>URINSAYA-CCOLLANA-S-N</t>
  </si>
  <si>
    <t>SI010530</t>
  </si>
  <si>
    <t>COM--KECRA-URINSAYA-SED-530</t>
  </si>
  <si>
    <t>SI010524</t>
  </si>
  <si>
    <t>MAMANI-DE-CH-JULIA</t>
  </si>
  <si>
    <t>URINSAYA-CCOLLANA</t>
  </si>
  <si>
    <t>SI010538</t>
  </si>
  <si>
    <t>ESQUIVEL-CAHUATA--HUBER</t>
  </si>
  <si>
    <t>CHANCARANI-S-N</t>
  </si>
  <si>
    <t>CHAMPI-CCORIMANYA--CLAUDIO</t>
  </si>
  <si>
    <t>ESQUIVEL-CAHUATA--HUBERT</t>
  </si>
  <si>
    <t>CHANCARANI-II</t>
  </si>
  <si>
    <t>SI010539</t>
  </si>
  <si>
    <t>CHAMPI-VEGA--FELIX-BERNABE</t>
  </si>
  <si>
    <t>COM--CHANCARANI</t>
  </si>
  <si>
    <t>SI010522</t>
  </si>
  <si>
    <t>TAMBO-PAYAPUNKU-MINISTERIO-DE-</t>
  </si>
  <si>
    <t>C-C--AHUICHAPI</t>
  </si>
  <si>
    <t>SI010761</t>
  </si>
  <si>
    <t>QUISPE-HUAHUAMANI--ASENCION</t>
  </si>
  <si>
    <t>SECT--YURACCANCHA-S-N</t>
  </si>
  <si>
    <t>SI010760</t>
  </si>
  <si>
    <t>CCASA-HUAHUAMANI--VICTOR</t>
  </si>
  <si>
    <t>SECTOR-AYACMAYO-LANGUI</t>
  </si>
  <si>
    <t>SI011400</t>
  </si>
  <si>
    <t>MAMANI-TINCO-DE-PALOMINO--VICT</t>
  </si>
  <si>
    <t>CHACCOPATA-S-N-</t>
  </si>
  <si>
    <t>LAYO</t>
  </si>
  <si>
    <t>SI010237</t>
  </si>
  <si>
    <t>CCALTA-SAYCO--VILMA</t>
  </si>
  <si>
    <t>CALLE-SAN-MARTIN-S-N</t>
  </si>
  <si>
    <t>SI010680</t>
  </si>
  <si>
    <t>INSTITUTO-SUPERIOR-TECNOLOGICO</t>
  </si>
  <si>
    <t>SECTOR-IRUPAMPA-S-N</t>
  </si>
  <si>
    <t>SI010679</t>
  </si>
  <si>
    <t>MAMANI-QUISPE--VIGINIA</t>
  </si>
  <si>
    <t>IRUPAMPA</t>
  </si>
  <si>
    <t>SI010591</t>
  </si>
  <si>
    <t>PRELATURA-DE-SICUANI-PARROQUIA</t>
  </si>
  <si>
    <t>C-C--URINSAYA</t>
  </si>
  <si>
    <t>MUNIC--CENTRO-P-MENOR</t>
  </si>
  <si>
    <t>ANEXO-U--CCOLLANA</t>
  </si>
  <si>
    <t>SI010592</t>
  </si>
  <si>
    <t>MAYMIRE-H--LEONARDA</t>
  </si>
  <si>
    <t>SI010585</t>
  </si>
  <si>
    <t>CONDE-PACCO-FELIPE</t>
  </si>
  <si>
    <t>ANEXO-CCOCHAPATA</t>
  </si>
  <si>
    <t>HUILLCA-JUAN-BAUTISTA</t>
  </si>
  <si>
    <t>SI010608</t>
  </si>
  <si>
    <t>CHUCTAYA-QUISPE--TORIBIO</t>
  </si>
  <si>
    <t>ANEXO-HANCCOJAHUA-C-C-URINSAYA</t>
  </si>
  <si>
    <t>SI010593</t>
  </si>
  <si>
    <t>POZO-CANARI-LORENZO</t>
  </si>
  <si>
    <t>SECTOR-HIROCCAHUA-S-N</t>
  </si>
  <si>
    <t>HUAMAN-TAPARACO--BERNARDO</t>
  </si>
  <si>
    <t>SI010594</t>
  </si>
  <si>
    <t>HALANOCCA-MAMANI--TEOFILO</t>
  </si>
  <si>
    <t>COM-URINSAYA-CCOLLANA-S-N</t>
  </si>
  <si>
    <t>CONDE-PHOCCO-FELIPE</t>
  </si>
  <si>
    <t>ANEXO-HIRHUAYPUJIO</t>
  </si>
  <si>
    <t>MAMANI-CCOTA-NICOLAS</t>
  </si>
  <si>
    <t>ANEXO-HIRUAYPUJIO-S-N</t>
  </si>
  <si>
    <t>SI010596</t>
  </si>
  <si>
    <t>QUISPE-LACUA-A--EVARISTO</t>
  </si>
  <si>
    <t>SI010573</t>
  </si>
  <si>
    <t>CHOQUEPUMA-ROQUE--URBANO</t>
  </si>
  <si>
    <t>C-C-ANANSAYA</t>
  </si>
  <si>
    <t>SI010569</t>
  </si>
  <si>
    <t>HUAYCHO-HUAYLLASI--HILARION</t>
  </si>
  <si>
    <t>C-C-HANANSAYA--SECTOR-HUANCOYO</t>
  </si>
  <si>
    <t>SI010590</t>
  </si>
  <si>
    <t>MAMANI-BUSTAMANTE--ELIO-BENIGN</t>
  </si>
  <si>
    <t>C-C-HANOCCA-SECTOR-CALLEJON-PA</t>
  </si>
  <si>
    <t>SI010899</t>
  </si>
  <si>
    <t>HUAYLLANI-PUCHO--EPIFANIO</t>
  </si>
  <si>
    <t>SECTOR-CUSIBAMBA-S-N</t>
  </si>
  <si>
    <t>SI010238</t>
  </si>
  <si>
    <t>BANDA-CHOQUENAIRA--GODOFREDO</t>
  </si>
  <si>
    <t>CALLE-CALVARIO</t>
  </si>
  <si>
    <t>ALENCASTRE-DE-LUPO--MARIA-ANTO</t>
  </si>
  <si>
    <t>AV--CUSCO-AEQUIPA-S-N</t>
  </si>
  <si>
    <t>CACERES-ESQUIVEL--NELY</t>
  </si>
  <si>
    <t>AV--CUSCO-AREQUIPA-S-N</t>
  </si>
  <si>
    <t>SI010239</t>
  </si>
  <si>
    <t>QUECANO-VILCA-JUAN</t>
  </si>
  <si>
    <t>CARRETERAS-CUSCO-AREQUIPA</t>
  </si>
  <si>
    <t>HUAYLLANI-CONDORI--OCTAVIO-SAT</t>
  </si>
  <si>
    <t>ANDRES-ALENCASTRE</t>
  </si>
  <si>
    <t>PACUALA-HUILLCA--JUAN-DIONICIO</t>
  </si>
  <si>
    <t>AV--ANDRES-ALENCASTRE-S-N</t>
  </si>
  <si>
    <t>CHALLCO-MAMANI--MARTIN</t>
  </si>
  <si>
    <t>CALLE-BOLOGNESI-N--527</t>
  </si>
  <si>
    <t>SI012080</t>
  </si>
  <si>
    <t>MAMANI-CHOQUEMAQUE--RONALD</t>
  </si>
  <si>
    <t>AV--MANCO-CAPAC-MZA-B-LT-77---</t>
  </si>
  <si>
    <t>SI010561</t>
  </si>
  <si>
    <t>QUISPE-AYALA--VICTOR</t>
  </si>
  <si>
    <t>COM--TACOMAYO-ROSASANI---CHECC</t>
  </si>
  <si>
    <t>SI010572</t>
  </si>
  <si>
    <t>HUAICHO-PHUTURI--FLORENTINO</t>
  </si>
  <si>
    <t>SECTOR-HUACRAHUACHO</t>
  </si>
  <si>
    <t>PRONOEI-DE--HUACRAHUACHO</t>
  </si>
  <si>
    <t>MAMANI-CHOQUEPUMA--VICENTE</t>
  </si>
  <si>
    <t>MAMANI-CHOQUEPUMA--JULIAN</t>
  </si>
  <si>
    <t>SI010563</t>
  </si>
  <si>
    <t>LABRA-CHARAQ-JULIO</t>
  </si>
  <si>
    <t>QUILLIHUARA-S-N</t>
  </si>
  <si>
    <t>SI010565</t>
  </si>
  <si>
    <t>CORICASA-PICHARDO--JUAN-CANCIO</t>
  </si>
  <si>
    <t>AV--PROGRESO-K1---4</t>
  </si>
  <si>
    <t>I-E-INICIAL-538-CHECCA</t>
  </si>
  <si>
    <t>AV--PROGRESO-S-N</t>
  </si>
  <si>
    <t>SI010546</t>
  </si>
  <si>
    <t>HUILLCA-MAMANI--FORTUNATO</t>
  </si>
  <si>
    <t>CALLE-SAUSAYA</t>
  </si>
  <si>
    <t>SI010564</t>
  </si>
  <si>
    <t>HUILLCA-R-JUVENAL</t>
  </si>
  <si>
    <t>SAN-ANDRES-CHECCA</t>
  </si>
  <si>
    <t>HUILLCA-SUNI--MANUEL-FELIPE</t>
  </si>
  <si>
    <t>AV--PROGRESO</t>
  </si>
  <si>
    <t>SI011364</t>
  </si>
  <si>
    <t>TACO-MAMANI--ALIPIO</t>
  </si>
  <si>
    <t>COM--CHIHUINAYRA</t>
  </si>
  <si>
    <t>SI010557</t>
  </si>
  <si>
    <t>C-E-56163-PUMATHALLA</t>
  </si>
  <si>
    <t>COM-PUMATHALLA</t>
  </si>
  <si>
    <t>SICUANI</t>
  </si>
  <si>
    <t>SI020319</t>
  </si>
  <si>
    <t>MARTINEZ-ROQUE--LIDIA</t>
  </si>
  <si>
    <t>URB-LUIS-BELTRA-G--L-14</t>
  </si>
  <si>
    <t>QUISPE-DE-T-TEODORA</t>
  </si>
  <si>
    <t>L-BELTRAN-G-----H-11</t>
  </si>
  <si>
    <t>LIMPE-CCAHUANA--PATRICIA</t>
  </si>
  <si>
    <t>LUIS--BELTRAN----G-7</t>
  </si>
  <si>
    <t>AGUILAR-A-JUAN</t>
  </si>
  <si>
    <t>L-BELTRAN-G-</t>
  </si>
  <si>
    <t>SAPANA-V-CASILDA</t>
  </si>
  <si>
    <t>L-BELTRAN-E-12</t>
  </si>
  <si>
    <t>ESPINOZA-CCASA--BERNABE</t>
  </si>
  <si>
    <t>LUIS-BELTRAN-G-</t>
  </si>
  <si>
    <t>TINCUSI-QUISPE--ANTONIA</t>
  </si>
  <si>
    <t>JR--RICARDO-MEDINA-F--7</t>
  </si>
  <si>
    <t>SI020365</t>
  </si>
  <si>
    <t>NINA-CCORIMANYA--BENITO</t>
  </si>
  <si>
    <t>JR-REVOLUCION-S-N</t>
  </si>
  <si>
    <t>PUMALUNTO-CONDORI--SABINO</t>
  </si>
  <si>
    <t>JR-TRABAJO-F-6</t>
  </si>
  <si>
    <t>ROQUE-HUARCA--ROSALIA</t>
  </si>
  <si>
    <t>UNIDAD-POPULAR--H-8</t>
  </si>
  <si>
    <t>JARMACTA-A-JULIO</t>
  </si>
  <si>
    <t>MATIAS-VELARDE-G-11</t>
  </si>
  <si>
    <t>MAMANI-QUISPE--ELOY</t>
  </si>
  <si>
    <t>PROLG--MANUEL-CALLO-ZEVALLOS-S</t>
  </si>
  <si>
    <t>IZQUIERDO-M-DORIN-S-</t>
  </si>
  <si>
    <t>ASC-A-AVELINO-CACERES-A-3</t>
  </si>
  <si>
    <t>TTITO-LOPEZ-JULIA</t>
  </si>
  <si>
    <t>PROLG-MANUEL-C-ZEVALLOS</t>
  </si>
  <si>
    <t>SI050010</t>
  </si>
  <si>
    <t>LUDE-A-CACERES--FIDEL-ALFREDO</t>
  </si>
  <si>
    <t>JR-2-DE-MAYO-C-C-OVALO</t>
  </si>
  <si>
    <t>CALLO-TAPIA-HILARIO</t>
  </si>
  <si>
    <t>SI050011</t>
  </si>
  <si>
    <t>QUENAYA-BLAS-VICTOR-R-</t>
  </si>
  <si>
    <t>ESCALANTE-H-JUAN</t>
  </si>
  <si>
    <t>DOS-DE-MAYO-413</t>
  </si>
  <si>
    <t>SI050026</t>
  </si>
  <si>
    <t>MAMANI-PACCO--SIMONA</t>
  </si>
  <si>
    <t>JR-DOS-DE-MAYO-700</t>
  </si>
  <si>
    <t>SI050007</t>
  </si>
  <si>
    <t>YUCRA-C--HUGO</t>
  </si>
  <si>
    <t>SI050012</t>
  </si>
  <si>
    <t>QUISPE-CHOQUEHUANCA--ALFREDO</t>
  </si>
  <si>
    <t>MELECON-SICUANI-109</t>
  </si>
  <si>
    <t>CCARHUARUPAY-RIMAYHUAMAN--FERM</t>
  </si>
  <si>
    <t>MANUEL-CALLO-Z--165</t>
  </si>
  <si>
    <t>SI050009</t>
  </si>
  <si>
    <t>DELGADO--TOMAS</t>
  </si>
  <si>
    <t>MANUEL-CALLO-Z--251</t>
  </si>
  <si>
    <t>DELGADO-VALENCIA-TOMAS</t>
  </si>
  <si>
    <t>AV-MANUEL-CALLO-Z-253</t>
  </si>
  <si>
    <t>MOLER-DE-ALVAREZ--EVA</t>
  </si>
  <si>
    <t>AV--MANUEL-CALLO-ZEVALLOS-N--2</t>
  </si>
  <si>
    <t>SI050008</t>
  </si>
  <si>
    <t>TIJERA-SALAS--GUILLERMO</t>
  </si>
  <si>
    <t>M-CALLO-ZEVALLOS-481</t>
  </si>
  <si>
    <t>ESCALANTE-CAHUATA--SILVIA</t>
  </si>
  <si>
    <t>PROLOG--MANUEL-CALLO-ZEVALLOS-</t>
  </si>
  <si>
    <t>SI021866</t>
  </si>
  <si>
    <t>BONIFACIO-FLOREZ--AVELINO</t>
  </si>
  <si>
    <t>PJE-VICTORIA-131</t>
  </si>
  <si>
    <t>BUSTINZA-BUSTINZA--GILBERTO</t>
  </si>
  <si>
    <t>AV--CAMINO-REAL-127</t>
  </si>
  <si>
    <t>ZARATE-MALAGA--EDGAR</t>
  </si>
  <si>
    <t>URB--A--RODRIGUEZ-S-N</t>
  </si>
  <si>
    <t>DELGADO-YLLANES-JORGE-A-</t>
  </si>
  <si>
    <t>PJE--OLAYA-S-N</t>
  </si>
  <si>
    <t>LAZO--GIRALDA-DE</t>
  </si>
  <si>
    <t>PJE--ARRIBA-PERU-139</t>
  </si>
  <si>
    <t>RAMIREZ-BOLIVAR--EUGENIA-HAYDE</t>
  </si>
  <si>
    <t>PJE-PEDRO-GONZALES--111</t>
  </si>
  <si>
    <t>UGARTE-A--VICTORIA</t>
  </si>
  <si>
    <t>C-V-TRAB-SALUD-A-7</t>
  </si>
  <si>
    <t>AYALA-DE-MUJICA-SONIA</t>
  </si>
  <si>
    <t>CCOOP-VIVIENDA-SALUD-B-15</t>
  </si>
  <si>
    <t>CARLO-FLORES--WILBER</t>
  </si>
  <si>
    <t>JR-ARRIBA-PERU-LT-2-MZ-C-----A</t>
  </si>
  <si>
    <t>BELLIDO-C-EPIFANIA</t>
  </si>
  <si>
    <t>R-MEDINA</t>
  </si>
  <si>
    <t>ATC-SITIOS-DEL-PERU-SRL</t>
  </si>
  <si>
    <t>AV--GRAU-N--191</t>
  </si>
  <si>
    <t>SI050013</t>
  </si>
  <si>
    <t>DIAZ-DE-TURPO--ISIDORA-MAXIMIA</t>
  </si>
  <si>
    <t>AV--GRAU---224</t>
  </si>
  <si>
    <t>SI050030</t>
  </si>
  <si>
    <t>CISNEROS-FRANCISCO</t>
  </si>
  <si>
    <t>AV-GRAU---811</t>
  </si>
  <si>
    <t>CCOA-MENDOZA--ZOILO</t>
  </si>
  <si>
    <t>AV--GRAU-820</t>
  </si>
  <si>
    <t>LACUTA-CACERES--FELIX</t>
  </si>
  <si>
    <t>COMERCIO-116</t>
  </si>
  <si>
    <t>DURANT-OCHOA-ADRIAN</t>
  </si>
  <si>
    <t>JR-COMERCIO-250</t>
  </si>
  <si>
    <t>SI050366</t>
  </si>
  <si>
    <t>FLOREZ-A-JANETH-NEYSA</t>
  </si>
  <si>
    <t>JR-BOLOGNESI-205--T-05</t>
  </si>
  <si>
    <t>JR-BOLOGNESI-205--T-08</t>
  </si>
  <si>
    <t>FLOREZ--GRIMALDO</t>
  </si>
  <si>
    <t>BOLOGNESI-205</t>
  </si>
  <si>
    <t>CALLO-IBARROLA--MARIA-ANTONIET</t>
  </si>
  <si>
    <t>JR-BOLOGNESI-218---A-</t>
  </si>
  <si>
    <t>ALVARES-S--ANIBAL</t>
  </si>
  <si>
    <t>TACNA--N0-209</t>
  </si>
  <si>
    <t>ALVAREZ-S-CIPRIAN-ANIBAL</t>
  </si>
  <si>
    <t>TACNA-207</t>
  </si>
  <si>
    <t>ALVAREZ-ZARAVIA--CIPRIANO-ANIB</t>
  </si>
  <si>
    <t>TACNA-211</t>
  </si>
  <si>
    <t>SI050014</t>
  </si>
  <si>
    <t>CENTENO-CARRASCO--RUBEN-JUSTO</t>
  </si>
  <si>
    <t>C-VALLEJO-S-N</t>
  </si>
  <si>
    <t>TORRES-DE-C--ILARIA</t>
  </si>
  <si>
    <t>ALFONZO-UGARTE-116</t>
  </si>
  <si>
    <t>MISION-ADVENTISTAS</t>
  </si>
  <si>
    <t>ALFONZO-UG--405</t>
  </si>
  <si>
    <t>HUARANCA--JULIA</t>
  </si>
  <si>
    <t>ALFONSO-UGARTE-435</t>
  </si>
  <si>
    <t>JR--28-DE-JULIO-302</t>
  </si>
  <si>
    <t>QUISPE-F-FRANCISCO</t>
  </si>
  <si>
    <t>QUISPE-ZEVALLOS--WALDIR</t>
  </si>
  <si>
    <t>JR--28-DE-JULIO-517</t>
  </si>
  <si>
    <t>ARTEAGA--IGNACIO</t>
  </si>
  <si>
    <t>GERONIMO-ZAVALA-214</t>
  </si>
  <si>
    <t>SI050028</t>
  </si>
  <si>
    <t>PUMA-DELGADO--FRIDA</t>
  </si>
  <si>
    <t>JR--PUMACAHUA-S-N</t>
  </si>
  <si>
    <t>SI050029</t>
  </si>
  <si>
    <t>VERA-CABALLERO--LIA-ERNESTINA</t>
  </si>
  <si>
    <t>JR--MATEO-PUMACAHUA--727-</t>
  </si>
  <si>
    <t>VERA--GABINA</t>
  </si>
  <si>
    <t>PUMACAHUA-723</t>
  </si>
  <si>
    <t>C-E--ESCUELA--PRIMARIA</t>
  </si>
  <si>
    <t>RICARDO--PALMA-101</t>
  </si>
  <si>
    <t>CRBTA31</t>
  </si>
  <si>
    <t>PACHECO--PEDRO</t>
  </si>
  <si>
    <t>RICARDO-PALMA-338</t>
  </si>
  <si>
    <t>PACHECO-VALDES-ALEJANDRO</t>
  </si>
  <si>
    <t>RICRADO-PALMA-S-N</t>
  </si>
  <si>
    <t>CCUNO-QUISPE--LINA-HAYDEE-ROCI</t>
  </si>
  <si>
    <t>JR--BUENA-VISTA-S-N</t>
  </si>
  <si>
    <t>SI050031</t>
  </si>
  <si>
    <t>QUISPE-P--ANA-L-</t>
  </si>
  <si>
    <t>MERCADO-BONBONERA</t>
  </si>
  <si>
    <t>DE-LA-CRUZ--PABLO</t>
  </si>
  <si>
    <t>AV-LACUSTRE-709</t>
  </si>
  <si>
    <t>HANCCO-QUISPE-PABLO</t>
  </si>
  <si>
    <t>MERCADO-BOMBONERA-MODULO-72</t>
  </si>
  <si>
    <t>HANCCO-RAMOS--ANTONIO</t>
  </si>
  <si>
    <t>MERCADO-BOMBONERA-PUESTO-N--01</t>
  </si>
  <si>
    <t>CORIMANYA-HUANACO--FELIX</t>
  </si>
  <si>
    <t>JR--LIBERTADORES-803</t>
  </si>
  <si>
    <t>TORRES-CHOQUEHUANCA--LUCRECIA-</t>
  </si>
  <si>
    <t>LIVERACION-107</t>
  </si>
  <si>
    <t>MERMA-Q--JULIO</t>
  </si>
  <si>
    <t>LIVERACION-112</t>
  </si>
  <si>
    <t>CURO-APAZA--RENE</t>
  </si>
  <si>
    <t>AV--LACUSTRE</t>
  </si>
  <si>
    <t>FLOREZ-QQ--EDUARDO</t>
  </si>
  <si>
    <t>AV--SOL-548</t>
  </si>
  <si>
    <t>HANCCO-Q--HERMOGENES</t>
  </si>
  <si>
    <t>JR-TAHUANTINSUYO-225</t>
  </si>
  <si>
    <t>JANTO-BARRIONUEVO--BERTHA</t>
  </si>
  <si>
    <t>JR--28-DE-JULIO---612</t>
  </si>
  <si>
    <t>LUIS-A-TEJEIRA-MURIEL</t>
  </si>
  <si>
    <t>SAN-MARTIN-124</t>
  </si>
  <si>
    <t>PAZ--ALEJANDRO-W</t>
  </si>
  <si>
    <t>SAN-MARTIN-218</t>
  </si>
  <si>
    <t>APARICIO-TAPIA--BERTHA</t>
  </si>
  <si>
    <t>PJE--LIBERTAD-S-N</t>
  </si>
  <si>
    <t>ENRIQUEZ-MESTAS--LUCILA</t>
  </si>
  <si>
    <t>CALVARIO-226-A</t>
  </si>
  <si>
    <t>CHUQUITAYPE-V-MARIO</t>
  </si>
  <si>
    <t>CALVARIO-S-N</t>
  </si>
  <si>
    <t>MAMANI-QUISPE--MAXIMO</t>
  </si>
  <si>
    <t>HUILLCA-C-VIDAL</t>
  </si>
  <si>
    <t>H-U-CALVARIO--S-N</t>
  </si>
  <si>
    <t>SI050027</t>
  </si>
  <si>
    <t>LOPEZ-H--JUAN</t>
  </si>
  <si>
    <t>PJE--CALCA-199</t>
  </si>
  <si>
    <t>QUISPE-MAMANY--LUISA</t>
  </si>
  <si>
    <t>JR-CALCA-S-N</t>
  </si>
  <si>
    <t>ZUNIGA-A-ANTONIA</t>
  </si>
  <si>
    <t>SANTIAGO-218</t>
  </si>
  <si>
    <t>HUILLCA-CHIPANA--FERNANDO</t>
  </si>
  <si>
    <t>TRES-CRUCES-ALTO-PAMPACUCHO</t>
  </si>
  <si>
    <t>HUILLCA-L--SEGUNDINO</t>
  </si>
  <si>
    <t>PROL--QUILLABAMBA-C-16</t>
  </si>
  <si>
    <t>VALLE-DE-QUITO-L-</t>
  </si>
  <si>
    <t>PROLG-QUILLABAMBA-S-N</t>
  </si>
  <si>
    <t>RODRIGUEZ-LAZO--LITA-ALICIA</t>
  </si>
  <si>
    <t>MARISCAL-CASTILLA-213</t>
  </si>
  <si>
    <t>PIZARRO--FELIX</t>
  </si>
  <si>
    <t>MARISCAL-CASTILLA-235</t>
  </si>
  <si>
    <t>RODRIGUEZ-MAMANI--MARTIN</t>
  </si>
  <si>
    <t>VIGIL-216-A</t>
  </si>
  <si>
    <t>SOTO--BENEDICTO</t>
  </si>
  <si>
    <t>MANCO-CAPAC-210</t>
  </si>
  <si>
    <t>TUPAYACHI-QUISPE--CIPRIANO</t>
  </si>
  <si>
    <t>BOLIVAR-105</t>
  </si>
  <si>
    <t>CALLO-LEON-MARIA-E-</t>
  </si>
  <si>
    <t>BOLIBAR-409</t>
  </si>
  <si>
    <t>CARRASCO-RODRIGUEZ--ADRIAN</t>
  </si>
  <si>
    <t>BOLIVAR-519</t>
  </si>
  <si>
    <t>CASTELO-B-ROSA-E</t>
  </si>
  <si>
    <t>ESPINAR---112</t>
  </si>
  <si>
    <t>IG-CAPILLA-PAMPACUCHO</t>
  </si>
  <si>
    <t>PLAZOLETA-PANPACUCHO</t>
  </si>
  <si>
    <t>LAVILLA-C-DE-SOSA--JULIANA</t>
  </si>
  <si>
    <t>JR-VILCANOTA-113</t>
  </si>
  <si>
    <t>QUISPE-P--VICTORIA</t>
  </si>
  <si>
    <t>VILCANOTA-141</t>
  </si>
  <si>
    <t>PACCO-INQUILLA--GUILLERMINA</t>
  </si>
  <si>
    <t>PJE--JURURU-N--155---SICUANI</t>
  </si>
  <si>
    <t>FLOREZ--GREGORIO</t>
  </si>
  <si>
    <t>PIURA-409</t>
  </si>
  <si>
    <t>PALOMINO-CH-GREGORIA--G</t>
  </si>
  <si>
    <t>APURIMAC-108</t>
  </si>
  <si>
    <t>TORREZ--FRANCISCO</t>
  </si>
  <si>
    <t>ATAHUALLPA-208</t>
  </si>
  <si>
    <t>TINTA-HUARAYA--ESTEFANIA</t>
  </si>
  <si>
    <t>ATAHUALLPA-231</t>
  </si>
  <si>
    <t>AYMITUMA-HUAYHUA--LUCIANO</t>
  </si>
  <si>
    <t>ATAHUALLPA-400</t>
  </si>
  <si>
    <t>VELARDE-DELGADO--RUBI-RUTH</t>
  </si>
  <si>
    <t>ATAHUALLPA--501---T---01</t>
  </si>
  <si>
    <t>VARGAS--JULIAN</t>
  </si>
  <si>
    <t>ATAHUALLPA-641</t>
  </si>
  <si>
    <t>MONTESINOS--SERAPIO</t>
  </si>
  <si>
    <t>ATAHUALLPA-732</t>
  </si>
  <si>
    <t>SOTO-TINTAYA-HILARIO</t>
  </si>
  <si>
    <t>ATAHUALLPA-S-N</t>
  </si>
  <si>
    <t>NINA-MONTIEL--ANDRES-ROBERTO</t>
  </si>
  <si>
    <t>JR--SANTA-ANA-N--333</t>
  </si>
  <si>
    <t>HUAYHUA-ANCCASI--MAGDALENO</t>
  </si>
  <si>
    <t>JR-FEDERICO-CARDENA-S-N</t>
  </si>
  <si>
    <t>SARA--CASIANO</t>
  </si>
  <si>
    <t>SANTA-ANA-S-N</t>
  </si>
  <si>
    <t>SI050024</t>
  </si>
  <si>
    <t>QUISPE--GRIMALDO</t>
  </si>
  <si>
    <t>SANTA-ANA-916</t>
  </si>
  <si>
    <t>BORNAS-CALA--ARTURO</t>
  </si>
  <si>
    <t>CARRION-110</t>
  </si>
  <si>
    <t>SANTISTEBAN-DE-MEDRANO--ADA-JE</t>
  </si>
  <si>
    <t>CARRION-229</t>
  </si>
  <si>
    <t>ARAGON-APARICIO--LUIS-ALBERTO</t>
  </si>
  <si>
    <t>AV-CARRION-235</t>
  </si>
  <si>
    <t>DIAZ--PEDRO</t>
  </si>
  <si>
    <t>CARRION-237</t>
  </si>
  <si>
    <t>APAZA-CCASA--MARUJA</t>
  </si>
  <si>
    <t>CARRION--233</t>
  </si>
  <si>
    <t>TINTAYA-CALLO--DORIS</t>
  </si>
  <si>
    <t>CARRION-336</t>
  </si>
  <si>
    <t>UGARTE-CAMINO--VICTOR</t>
  </si>
  <si>
    <t>AV--TUPAC-AMARU-N--311</t>
  </si>
  <si>
    <t>SI050025</t>
  </si>
  <si>
    <t>PARHUAYO-ALEJANDRINA</t>
  </si>
  <si>
    <t>SAN-FELIPE-115</t>
  </si>
  <si>
    <t>HUARAYA-H-MIGUEL</t>
  </si>
  <si>
    <t>SAN-FELIPE-PLAZA---S-N</t>
  </si>
  <si>
    <t>MAQQUE-LLANOS--JULIAN</t>
  </si>
  <si>
    <t>SAN-FELIPE-S-N</t>
  </si>
  <si>
    <t>HUALLPAMAYTA-H--HIGIDIO</t>
  </si>
  <si>
    <t>PJE-SANTA-CRUZ-337</t>
  </si>
  <si>
    <t>SI050023</t>
  </si>
  <si>
    <t>CONDORI-HUILLCA--IGNACIO</t>
  </si>
  <si>
    <t>SAN-FELIPE-372</t>
  </si>
  <si>
    <t>VARGAS-DE-COLLADO--BERTHA-JESU</t>
  </si>
  <si>
    <t>SAN-FELIPE-381</t>
  </si>
  <si>
    <t>CHURA-MAMANI--ALEJANDRO</t>
  </si>
  <si>
    <t>SAN-FELIPE-401</t>
  </si>
  <si>
    <t>TTITO-CONDORI--OSCAR</t>
  </si>
  <si>
    <t>SAN-FELIPE-384</t>
  </si>
  <si>
    <t>MENDOZA-PAREDES--FLORA</t>
  </si>
  <si>
    <t>SAN-FELIPE-415</t>
  </si>
  <si>
    <t>PAREDES-CHUCTAYA-ARTURO</t>
  </si>
  <si>
    <t>JR--UYURMIRI</t>
  </si>
  <si>
    <t>CCARITA-MAMANI--JUSTO</t>
  </si>
  <si>
    <t>AV-SAN-FELIPE-436</t>
  </si>
  <si>
    <t>MUNICIPALIDAD-PROVINCIAL-DE-CA</t>
  </si>
  <si>
    <t>AV--SAN-FELIPE-COLISEO</t>
  </si>
  <si>
    <t>CCARITA-CCARITA--JUAN-WILFREDO</t>
  </si>
  <si>
    <t>AV--SAN-FELIPE-N--514</t>
  </si>
  <si>
    <t>CCASA-SURCO-JULIAN</t>
  </si>
  <si>
    <t>JR-ALTO-MISQUIRI</t>
  </si>
  <si>
    <t>SI050022</t>
  </si>
  <si>
    <t>HUILLCA-PUMA--HERNAN</t>
  </si>
  <si>
    <t>SAN-FELIPE-735</t>
  </si>
  <si>
    <t>APAZA-MAITA--LEONARDO</t>
  </si>
  <si>
    <t>PJE--TERESA-CISNEROS-S-N</t>
  </si>
  <si>
    <t>QUISPE-YUCA-NIEVES</t>
  </si>
  <si>
    <t>PJE-RUPERTO-GAONA-S-N</t>
  </si>
  <si>
    <t>CURO-LEON--ALIPIO</t>
  </si>
  <si>
    <t>SAN-FELIPE-821</t>
  </si>
  <si>
    <t>CRUZ-CONDORI-ALEJO</t>
  </si>
  <si>
    <t>AV-SAN-FELIPE-S-N</t>
  </si>
  <si>
    <t>QUISPE-CCAMA-VIVIANA</t>
  </si>
  <si>
    <t>AV--SAN-FELIPE-S-N</t>
  </si>
  <si>
    <t>CCASSA-S-GUILLERMO</t>
  </si>
  <si>
    <t>SAN-FELIPE-887</t>
  </si>
  <si>
    <t>CCAHUANA-NINA--FLORENTINO</t>
  </si>
  <si>
    <t>PJ-FERNANDES--2</t>
  </si>
  <si>
    <t>CCALLO-NINA--DOLORES</t>
  </si>
  <si>
    <t>PJE--FERNANDEZ-S-N</t>
  </si>
  <si>
    <t>CUTIPA-VDA-D-P-CARME</t>
  </si>
  <si>
    <t>BAJO-MARQUIRI-S-N</t>
  </si>
  <si>
    <t>LOPEZ-SONCO--MARIO</t>
  </si>
  <si>
    <t>SI050036</t>
  </si>
  <si>
    <t>HUARANCCA-HUAMANTUPA--GUMERCIN</t>
  </si>
  <si>
    <t>SACUYO-AV-SICUANI-S-N</t>
  </si>
  <si>
    <t>CUELO-DE-L-RITA</t>
  </si>
  <si>
    <t>ASOC-SACUYO---S-N</t>
  </si>
  <si>
    <t>CONDORI-Q-LORENZO</t>
  </si>
  <si>
    <t>SACUYO-PROL-SICUANI-42</t>
  </si>
  <si>
    <t>QUISPE-MAMANI-RENE</t>
  </si>
  <si>
    <t>SACUYO-PROL-SICUANI-60</t>
  </si>
  <si>
    <t>SI050315</t>
  </si>
  <si>
    <t>ASTACIE-BELLIDO--ALEJANDRO</t>
  </si>
  <si>
    <t>CALLE-REAL-FELIPE--C---2</t>
  </si>
  <si>
    <t>NINA-CONDORI--MERCEDES</t>
  </si>
  <si>
    <t>ACCOBANBA-SAN-FELIPE-S-N</t>
  </si>
  <si>
    <t>GUTIERREZ-C-CARLOS</t>
  </si>
  <si>
    <t>QUISPE-NINA--EDGAR</t>
  </si>
  <si>
    <t>PROLONG--BELAUNDE-S-N</t>
  </si>
  <si>
    <t>MAQQUE-SACA-CIPRIANO</t>
  </si>
  <si>
    <t>JR--MISQUIRI-S-N</t>
  </si>
  <si>
    <t>CONDORI-ROCCA-DE-HUILLCAHUAMAN</t>
  </si>
  <si>
    <t>FE-ESPERANZA-HABITAT-F-10</t>
  </si>
  <si>
    <t>HUARANCA-CHAMPI--RONAL-ROCIEL</t>
  </si>
  <si>
    <t>PSJ--HUANUCO-S-N</t>
  </si>
  <si>
    <t>FLOREZ-AGUIRRE--DAFNE</t>
  </si>
  <si>
    <t>ASC-FE-Y-ESPERANZA-C-4</t>
  </si>
  <si>
    <t>CANAHUIRE-CUYO--BENEDICTA</t>
  </si>
  <si>
    <t>ASOC--FE-Y-ESPERANZA-C-3--</t>
  </si>
  <si>
    <t>VERA-HUAMANI-DORIS</t>
  </si>
  <si>
    <t>ASC-FE-Y-ESPERANZA-A-10</t>
  </si>
  <si>
    <t>CAIRO-F--MARIO</t>
  </si>
  <si>
    <t>CONFEDERACION-124</t>
  </si>
  <si>
    <t>SI050216</t>
  </si>
  <si>
    <t>COMISARIA-SECTORIAL-PNP-CANCHI</t>
  </si>
  <si>
    <t>PROLG-AV-CONFEDERACION-S-N</t>
  </si>
  <si>
    <t>TTITO-BONIFACIO--ANDRES</t>
  </si>
  <si>
    <t>CONFEDERACION-236</t>
  </si>
  <si>
    <t>CONDORI-QUISPE--MARCELINO</t>
  </si>
  <si>
    <t>CONFEDERACION-320</t>
  </si>
  <si>
    <t>DURAND--SALVADOR</t>
  </si>
  <si>
    <t>CONFEDERACION-334</t>
  </si>
  <si>
    <t>AGRAMONTE-LLANA-YONI-R-</t>
  </si>
  <si>
    <t>CONFEDERACION-370</t>
  </si>
  <si>
    <t>APAZA-CASTELO--FELIX</t>
  </si>
  <si>
    <t>CONFEDERACION-372</t>
  </si>
  <si>
    <t>BIGORIA-MENDOZA-OTIL</t>
  </si>
  <si>
    <t>CONFEDERACION-409</t>
  </si>
  <si>
    <t>CURIE-DEZA-VICTOR-E-</t>
  </si>
  <si>
    <t>QUISPE-ARCE-ANICETO</t>
  </si>
  <si>
    <t>CONFEDERACION-436</t>
  </si>
  <si>
    <t>SI050243</t>
  </si>
  <si>
    <t>PALACO-PALLARA-BIBIANA</t>
  </si>
  <si>
    <t>AV-6-DE-JULIO-D-8</t>
  </si>
  <si>
    <t>SI050006</t>
  </si>
  <si>
    <t>YUCRA-HUILLCA--RAIMUNDO-ROGER</t>
  </si>
  <si>
    <t>PROLG-AV-MANUEL-CALLO-ZEVALLOS</t>
  </si>
  <si>
    <t>NINA-QUISPE--PEDRO-GODOFREDO</t>
  </si>
  <si>
    <t>JULIO-OCHOA-114</t>
  </si>
  <si>
    <t>DE-EVENTOS-CULTURALES-MAGISTER</t>
  </si>
  <si>
    <t>REPUBLICA-DEL-PERU-S-N-MAGISTE</t>
  </si>
  <si>
    <t>MAMANI-MAMANI--JOSE</t>
  </si>
  <si>
    <t>JULIO-OCHOA--310</t>
  </si>
  <si>
    <t>CONDORI-VELASQUEZ--MARIO</t>
  </si>
  <si>
    <t>JULIO-OCHOA--200</t>
  </si>
  <si>
    <t>MAMANI-C--MARIANO</t>
  </si>
  <si>
    <t>JULIO-OCHOA-328</t>
  </si>
  <si>
    <t>SI050385</t>
  </si>
  <si>
    <t>YUCA-CHAMPI--SIMIANA</t>
  </si>
  <si>
    <t>AV--SICUANI-S-N</t>
  </si>
  <si>
    <t>MACEDO-YUCA--GODOFREDO</t>
  </si>
  <si>
    <t>JR-LOS-SAUCES-L-15</t>
  </si>
  <si>
    <t>CHECYA-DE-JIHUALLANCA--EDUARDA</t>
  </si>
  <si>
    <t>CALLE-LOS-LIRIOS-S-N-</t>
  </si>
  <si>
    <t>TTITO-LOPEZ-LUCIO</t>
  </si>
  <si>
    <t>JR--VENEZUELA-JUIO-OCHOA</t>
  </si>
  <si>
    <t>CHECYA-BONIFACIO--ALBERTO</t>
  </si>
  <si>
    <t>LOS-CIPRECES-G-3</t>
  </si>
  <si>
    <t>TTICA-P--PRIMITIVA</t>
  </si>
  <si>
    <t>JR--LAS-RUINAS</t>
  </si>
  <si>
    <t>QUISPE-QUISPE--EULOGIO-MARCELO</t>
  </si>
  <si>
    <t>JR--MACHUPICCHU-S-N</t>
  </si>
  <si>
    <t>CURI-CCASA---ALBERTO</t>
  </si>
  <si>
    <t>CONDORI-MAMANI--EUSEBIO</t>
  </si>
  <si>
    <t>PSJ--PATRICIA-LEON--ASOC--ARTE</t>
  </si>
  <si>
    <t>MAMANI-M-FRANCISCO</t>
  </si>
  <si>
    <t>MAMANI-QUINONES-ROSA</t>
  </si>
  <si>
    <t>MAMANI-HUILLCA--ASCENCIO</t>
  </si>
  <si>
    <t>AV--REPUBLICA-DEL-PERU-S-N</t>
  </si>
  <si>
    <t>TTITO-LOPEZ--VALENTINA</t>
  </si>
  <si>
    <t>PROLG--JR--SANTA-ANA-S-N</t>
  </si>
  <si>
    <t>QUINTANILLA-PAULLO--MARINA</t>
  </si>
  <si>
    <t>AV-LA-VERDAD-A-13</t>
  </si>
  <si>
    <t>PAREDES-CONDORI--LEONARDO</t>
  </si>
  <si>
    <t>URB-MAGISTERIAL-MZ-B----LT-23</t>
  </si>
  <si>
    <t>CAIRO-FLOREZ-JUAN</t>
  </si>
  <si>
    <t>ASC--MAGISTERIAL-D-5</t>
  </si>
  <si>
    <t>CALLA-AUPA-QUISPE--JUAN</t>
  </si>
  <si>
    <t>JR--NI-OS-DEL-PERU--2DO-PISO</t>
  </si>
  <si>
    <t>CURO-QUI-ONES-VDA-DE-CASTRO--E</t>
  </si>
  <si>
    <t>CALLE-ENSE-ANZA--URB--MAGISTER</t>
  </si>
  <si>
    <t>SENCA-HUANCO--JORGE-S-</t>
  </si>
  <si>
    <t>ASOC--M--CONCEPCION-CIS-A-12</t>
  </si>
  <si>
    <t>COTOHUANCA-PUMA--VALENTIN</t>
  </si>
  <si>
    <t>ASC-MARIA-C-CISNEROS-A-17</t>
  </si>
  <si>
    <t>CONDORI-CJUNO--LEANDRO</t>
  </si>
  <si>
    <t>JR--UYURMIRI-S-N</t>
  </si>
  <si>
    <t>SI050017</t>
  </si>
  <si>
    <t>HUAMANI-A-AMADOR</t>
  </si>
  <si>
    <t>CALLE-MALECON-A-04</t>
  </si>
  <si>
    <t>SI020016</t>
  </si>
  <si>
    <t>SURCO-T-AURELIA-V-</t>
  </si>
  <si>
    <t>PUENTE-USEDA-108</t>
  </si>
  <si>
    <t>SI020015</t>
  </si>
  <si>
    <t>LIPA-MAMANI--CLAUDIO</t>
  </si>
  <si>
    <t>PUENTE-USEDA-A-9</t>
  </si>
  <si>
    <t>LOPEZ-CASTILLO--CARMEN</t>
  </si>
  <si>
    <t>PABLO-NERUDA-CUADRA-2</t>
  </si>
  <si>
    <t>YAURI-FLORES--NELIDA</t>
  </si>
  <si>
    <t>CALLE-PABLO-NERUDA---117</t>
  </si>
  <si>
    <t>CAHUANA-RIMACHI--HERMENEGILDA</t>
  </si>
  <si>
    <t>JR--LUIS-NIETO----SICUANI</t>
  </si>
  <si>
    <t>LEYVA-MAMANI-SERGIO</t>
  </si>
  <si>
    <t>INDUSTRIAL-107-T-OBRER</t>
  </si>
  <si>
    <t>CHUCTAYA-G-LEONCIO</t>
  </si>
  <si>
    <t>JR-INDUSTRIAL-123</t>
  </si>
  <si>
    <t>JALLO-Q--VALERIANO</t>
  </si>
  <si>
    <t>AV-AREQUIPA-423</t>
  </si>
  <si>
    <t>CLAUDIO-QUISPE-SANTOS</t>
  </si>
  <si>
    <t>AV--AREQUIPA--T--OBRERO</t>
  </si>
  <si>
    <t>ESTRADA--ENRIQUE</t>
  </si>
  <si>
    <t>LOS-CLAVELES-H-3</t>
  </si>
  <si>
    <t>ROSEL-CARRION--ZACARIAS--H-</t>
  </si>
  <si>
    <t>CIRO-ALEGRIA-212</t>
  </si>
  <si>
    <t>SI010311</t>
  </si>
  <si>
    <t>QUISPE-RAMOS-ERASMO</t>
  </si>
  <si>
    <t>CIRO-ALEGRIA-S-N</t>
  </si>
  <si>
    <t>MOLINA-QUISPE-MARIO</t>
  </si>
  <si>
    <t>JORGE-CHAVEZ-T-OBRERO</t>
  </si>
  <si>
    <t>HANCCO-APAZA--FREDY-MAURO</t>
  </si>
  <si>
    <t>PROLG-JOSE-GALVEZ-S-N</t>
  </si>
  <si>
    <t>SI010241</t>
  </si>
  <si>
    <t>CHOQUENERI--FRANCISC</t>
  </si>
  <si>
    <t>BRENA-P-4</t>
  </si>
  <si>
    <t>QUISPE-VDA-V-HERMINIA</t>
  </si>
  <si>
    <t>BRENA-S-N</t>
  </si>
  <si>
    <t>CHARCA-CHACON--JUAN-JHASMANI</t>
  </si>
  <si>
    <t>PROLG--AV--AREQUIPA-S-N</t>
  </si>
  <si>
    <t>HURTADO-RIVEROS-JOSE</t>
  </si>
  <si>
    <t>AV-AREQUIPA-753</t>
  </si>
  <si>
    <t>CCALLO-DE-M-FRANCISCA</t>
  </si>
  <si>
    <t>PROLG-AV-AREQUIPA-857</t>
  </si>
  <si>
    <t>SI010363</t>
  </si>
  <si>
    <t>QUISPE-VILCA--JOEL-DANTE</t>
  </si>
  <si>
    <t>PROLG-AV-AREQUIPA-S-N</t>
  </si>
  <si>
    <t>SI010215</t>
  </si>
  <si>
    <t>BECERRA-BORDA-BETSI-L</t>
  </si>
  <si>
    <t>PROLG-AV-AREQUIPA-7MO-C-</t>
  </si>
  <si>
    <t>SI010373</t>
  </si>
  <si>
    <t>CUTIRE-CHAMPI--VALENTIN</t>
  </si>
  <si>
    <t>CALLE-CAMINOS-DEL-INCA-S-N</t>
  </si>
  <si>
    <t>TOMAYCONZA-MARTINEZ--QUINTIN</t>
  </si>
  <si>
    <t>JR-FLORESCENTE-S-N</t>
  </si>
  <si>
    <t>CALSINA-CC-DAMIANA</t>
  </si>
  <si>
    <t>STA-CRUZ-ACCOTA-S-N</t>
  </si>
  <si>
    <t>ROJAS-CHAY-A--URBANA</t>
  </si>
  <si>
    <t>URB--SAN-FRANCISCO-ACCOTA</t>
  </si>
  <si>
    <t>CUTIRE-HUARAYA--PRUDENCIA</t>
  </si>
  <si>
    <t>URB-SAN-FRANCISCO-S-N</t>
  </si>
  <si>
    <t>HUAHUACCAPA-HANCCO--VICENTE</t>
  </si>
  <si>
    <t>AV-SANTA-CRUZ-DE-ACCOTA-S-N</t>
  </si>
  <si>
    <t>CARRASCO-CH-DAVID</t>
  </si>
  <si>
    <t>CONDORI-LIPA--BENILDA</t>
  </si>
  <si>
    <t>SI010252</t>
  </si>
  <si>
    <t>SINSAYA-COLQUE--PETRONILA</t>
  </si>
  <si>
    <t>PROLG--AV--LOS-PINOS--ACCOTA</t>
  </si>
  <si>
    <t>SUMIRE-CUTIRE--EFRAIN</t>
  </si>
  <si>
    <t>CALLE-RENOVACION-S-N</t>
  </si>
  <si>
    <t>CHILO-HUILLCAANCCO--GRACIANO</t>
  </si>
  <si>
    <t>FLORECENTE-B-SELVA-ALEGRE</t>
  </si>
  <si>
    <t>SI010364</t>
  </si>
  <si>
    <t>MENDOZA-DE-ARAPA--DARIA</t>
  </si>
  <si>
    <t>SAN-ANDRES-DE-CH-B-03</t>
  </si>
  <si>
    <t>TTICA-CHOQUE-WALTER</t>
  </si>
  <si>
    <t>JR-RETAMAL-A-6</t>
  </si>
  <si>
    <t>LAUCATA-BANDA--ROMUALDO</t>
  </si>
  <si>
    <t>AV-LOS-CLAVELES-B-15</t>
  </si>
  <si>
    <t>QUISPE-CHULLO--ELEUTERIO</t>
  </si>
  <si>
    <t>SAN-ANDRES-DE-CH-A-13</t>
  </si>
  <si>
    <t>CUTI-HACHA--VICTOR</t>
  </si>
  <si>
    <t>AV-LOS-KANTUS--133-135</t>
  </si>
  <si>
    <t>HUALLPA-TIJERA-JULIAN</t>
  </si>
  <si>
    <t>SAN-ANDRES-DE-CH--I-06</t>
  </si>
  <si>
    <t>TINTA-PHUTURI-RUBEN</t>
  </si>
  <si>
    <t>SAN-ANDRES-DE-CH--J-02-B</t>
  </si>
  <si>
    <t>OLIVERA-GUTIERREZ--BENIGNO</t>
  </si>
  <si>
    <t>ASC-SAN-ANDRES-DE-SICUANI-S-N</t>
  </si>
  <si>
    <t>MAMANI-MACHACA-ALEJANDRIN</t>
  </si>
  <si>
    <t>SAN-ANDRES-DE-CH--K-11</t>
  </si>
  <si>
    <t>MAMANI-HUALLPA-FLORENCIO</t>
  </si>
  <si>
    <t>SAN-ANDRES-DE-CH--0-12</t>
  </si>
  <si>
    <t>PANTI-QUISPE--JUAN</t>
  </si>
  <si>
    <t>LOS-ROSALES-S-N-URB--SAN--ANDR</t>
  </si>
  <si>
    <t>FIGUEROA-VILCA--NORMA</t>
  </si>
  <si>
    <t>AV--LOS-OLIVOS-Q-12</t>
  </si>
  <si>
    <t>SULLA-SUMIRE--JULIAN</t>
  </si>
  <si>
    <t>AV-RIGOBERTO-EZQUERRA-S-N</t>
  </si>
  <si>
    <t>CAMA-SAMATA--FERMIN</t>
  </si>
  <si>
    <t>-RIGOBERTO-EZQUERRA-S-N-ASOC--</t>
  </si>
  <si>
    <t>CHECCORI-TINTA--DANIEL</t>
  </si>
  <si>
    <t>INDEPENDENCIA-F-7</t>
  </si>
  <si>
    <t>QUISPE-CUYO--JULIANA</t>
  </si>
  <si>
    <t>APV-INDEPENDENCIA-A13</t>
  </si>
  <si>
    <t>TIJERA-SALAS--RAVELINA</t>
  </si>
  <si>
    <t>MALECON--INDEPENDENCIA</t>
  </si>
  <si>
    <t>BELLIDO-CASTELO--MARITZA</t>
  </si>
  <si>
    <t>AV--SANTA-CRUZ---SICUANI</t>
  </si>
  <si>
    <t>CASA-DE-DIAZ--JUANA</t>
  </si>
  <si>
    <t>PROLG--AV-SANTA-CRUZ-B-5</t>
  </si>
  <si>
    <t>HUAMANI-CRUZ--HONORATA</t>
  </si>
  <si>
    <t>MALECON-VILCANOTA-S-N-ASOC--SA</t>
  </si>
  <si>
    <t>GUZMAN-ARTEAGA--MADELEINE</t>
  </si>
  <si>
    <t>AV--INDEPEMDENCIA-S-N</t>
  </si>
  <si>
    <t>MAMANI-CONDORI--GOSME</t>
  </si>
  <si>
    <t>JR--CARLOS-NORIEGA-S-N-URB-URU</t>
  </si>
  <si>
    <t>MAMANI-H--JUAN</t>
  </si>
  <si>
    <t>APV-SAN-MARTIN-DE-P-</t>
  </si>
  <si>
    <t>SULLA-HANCCO--BERNABE</t>
  </si>
  <si>
    <t>AV--SANTA-CRUZ-S-N</t>
  </si>
  <si>
    <t>ARCA-ESCALANTE-PEDRO</t>
  </si>
  <si>
    <t>CASUARINAS-SUR-B-17</t>
  </si>
  <si>
    <t>CCOSCCO-MENDOZA--EVARISTO</t>
  </si>
  <si>
    <t>A-H-CASUARINAS-SUR-A-9</t>
  </si>
  <si>
    <t>SI020019</t>
  </si>
  <si>
    <t>CRUZ-TUNQUI-NEMESIO</t>
  </si>
  <si>
    <t>JR-ERNESTO-MONNTAGNE-152</t>
  </si>
  <si>
    <t>NEYRA--WALTER</t>
  </si>
  <si>
    <t>E--MONTAGNE-203</t>
  </si>
  <si>
    <t>SI010018</t>
  </si>
  <si>
    <t>BORNAZ-CASO--AMELIA-ANGELICA</t>
  </si>
  <si>
    <t>AV-AREQUIPA-145</t>
  </si>
  <si>
    <t>CAHUATA-C-MAURO-GIL</t>
  </si>
  <si>
    <t>AREQUIPA-239</t>
  </si>
  <si>
    <t>CCAHUANA--FLORENCIO</t>
  </si>
  <si>
    <t>AREQUIPA-313</t>
  </si>
  <si>
    <t>CALLO-QUISPE--CLAUDIO</t>
  </si>
  <si>
    <t>AREQUIPA-321</t>
  </si>
  <si>
    <t>AGUILAR-VDA-DE-MAMANI--VALENTI</t>
  </si>
  <si>
    <t>AREQUIPA-353</t>
  </si>
  <si>
    <t>QUECANO-VILCA-SONIA-</t>
  </si>
  <si>
    <t>AREQUIPA-598</t>
  </si>
  <si>
    <t>QUISPE-ZUBIA--JOSE</t>
  </si>
  <si>
    <t>AV--AREQUIPA---620---A-</t>
  </si>
  <si>
    <t>GAMARRA-DE-GONZALES--GUILLERMI</t>
  </si>
  <si>
    <t>PJE-REVOLUCION-S-N</t>
  </si>
  <si>
    <t>CUBA-ZUNIGA--CEFERIN</t>
  </si>
  <si>
    <t>JR--PACHACUTEC-117</t>
  </si>
  <si>
    <t>CUBA-ZU-IGA--CEFERINO</t>
  </si>
  <si>
    <t>PACHACUTEC-138</t>
  </si>
  <si>
    <t>QUISPE-SOLIS--JUAN-DE-LA-CRUZ</t>
  </si>
  <si>
    <t>AV-CENTENARIO-S-N</t>
  </si>
  <si>
    <t>FUENTES-HUAMANI--JOHN-ROSS</t>
  </si>
  <si>
    <t>AV--CENTENARIO-N--132</t>
  </si>
  <si>
    <t>HUAMANI-G--MARIA-J-</t>
  </si>
  <si>
    <t>CENTENARIO-132</t>
  </si>
  <si>
    <t>CHALLCO-LOAYZA-RUFO</t>
  </si>
  <si>
    <t>C-COMERCIAL-ZONALITO-T-56</t>
  </si>
  <si>
    <t>SI010004</t>
  </si>
  <si>
    <t>CORIMANYA-MERMA--JULIA</t>
  </si>
  <si>
    <t>AV-CENTENARIO-426</t>
  </si>
  <si>
    <t>SI010003</t>
  </si>
  <si>
    <t>SULLCA-QUISPE--MODESTO</t>
  </si>
  <si>
    <t>AV-CENTANARIO-620</t>
  </si>
  <si>
    <t>HANCCO-A--FERMIN</t>
  </si>
  <si>
    <t>CENTENARIO-624</t>
  </si>
  <si>
    <t>CARLO-FLORES--EDWIN-RAUL</t>
  </si>
  <si>
    <t>AV--JESUS-GAONA-CISNEROS</t>
  </si>
  <si>
    <t>HILARI-CCAMA--FREDY-EUSEBIO</t>
  </si>
  <si>
    <t>JR--MARTIN-CHAVEZ-S-N</t>
  </si>
  <si>
    <t>ESPINOZA-PERALTA--DIONISIO</t>
  </si>
  <si>
    <t>PJE-CANTUTA-S-N</t>
  </si>
  <si>
    <t>QUISPE-HUAHUACCAPA--ZULEMA-ABI</t>
  </si>
  <si>
    <t>JR-WIRACOCHA-S-N</t>
  </si>
  <si>
    <t>HUARACHA-CH--ELEUTERIO</t>
  </si>
  <si>
    <t>WIRACOCHA-TAHUANTINSUYO</t>
  </si>
  <si>
    <t>CRUZ-HUAMPA--DELFIN</t>
  </si>
  <si>
    <t>JR---WIRACOCHA-S-N</t>
  </si>
  <si>
    <t>VARGAS-TAPIA--MARTHA-MARCELA</t>
  </si>
  <si>
    <t>JOSE-GALVEZ--S-N</t>
  </si>
  <si>
    <t>CONDORI-CUTI--FULGENCIO</t>
  </si>
  <si>
    <t>J-GAONA-S-N</t>
  </si>
  <si>
    <t>GAMARRA--ANDRES</t>
  </si>
  <si>
    <t>JULIO-C--ACURIO-126</t>
  </si>
  <si>
    <t>CHECORI-C-PLACIDO</t>
  </si>
  <si>
    <t>J-C-ACURIO-123</t>
  </si>
  <si>
    <t>SI020020</t>
  </si>
  <si>
    <t>HUALLPA--NICOLAS</t>
  </si>
  <si>
    <t>JULIO-C--ACURIO-262</t>
  </si>
  <si>
    <t>FLOREZ-FLOREZ--JULIO-CESAR</t>
  </si>
  <si>
    <t>JR-EUSEBIO-DELGADO-121</t>
  </si>
  <si>
    <t>ROMAN-PAREDES--DEMETRIO</t>
  </si>
  <si>
    <t>PSJE-SANTA-FILOMENA</t>
  </si>
  <si>
    <t>TTITO-HUAMAN-JUAN</t>
  </si>
  <si>
    <t>MICAELA-BASTIDAS-S-N</t>
  </si>
  <si>
    <t>TACO--ANTONIO</t>
  </si>
  <si>
    <t>J-C-MARIATEGUI-313</t>
  </si>
  <si>
    <t>HUILLCA--C--CORNELIO</t>
  </si>
  <si>
    <t>SAN-PABLO-159</t>
  </si>
  <si>
    <t>LEIVA-CH-ERASMO</t>
  </si>
  <si>
    <t>PRLOG-MARANGANI-S-N</t>
  </si>
  <si>
    <t>CARRASCO-COLQUE-JOSE</t>
  </si>
  <si>
    <t>PROG-MARANGANI</t>
  </si>
  <si>
    <t>ALVAREZ-CHAMPI--MANUEL</t>
  </si>
  <si>
    <t>JR--CANCHIS</t>
  </si>
  <si>
    <t>ALVAREZ-CH--MANUEL</t>
  </si>
  <si>
    <t>JR-CANCHIS-109</t>
  </si>
  <si>
    <t>HINOJOSA-CRUZ-NATALIA</t>
  </si>
  <si>
    <t>JR-CANCHIS-208</t>
  </si>
  <si>
    <t>FERNANDEZ-DE-VASQUEZ--SALOME</t>
  </si>
  <si>
    <t>JR--CANCHIS-345</t>
  </si>
  <si>
    <t>PERES--DE--G--AURORA</t>
  </si>
  <si>
    <t>CANCHIS-428</t>
  </si>
  <si>
    <t>CRUZ-QUISPE-JOSE</t>
  </si>
  <si>
    <t>CANCHIS---510</t>
  </si>
  <si>
    <t>COLEGIO-INMACULADA-C</t>
  </si>
  <si>
    <t>CENTENARIO-326</t>
  </si>
  <si>
    <t>CRUZ-Y-MILUSKA-M</t>
  </si>
  <si>
    <t>CLORINDA-MATTO-315</t>
  </si>
  <si>
    <t>CHUQUICHAMPI-E-VALER</t>
  </si>
  <si>
    <t>CLORINDA-MATTO-325</t>
  </si>
  <si>
    <t>CAMA-SOTO--JULIAN</t>
  </si>
  <si>
    <t>CLORINDA-MATTO-441</t>
  </si>
  <si>
    <t>GALLEGOS-C--MARIA</t>
  </si>
  <si>
    <t>JR--ENCINAS-260</t>
  </si>
  <si>
    <t>CONDORI-QQUETA--CONSTANTINO</t>
  </si>
  <si>
    <t>JOSE-ENCINAS-252</t>
  </si>
  <si>
    <t>PALACIOS-CATUNTA-MARCOS-P</t>
  </si>
  <si>
    <t>J-CARLOS-MARIATIGUE-S-N</t>
  </si>
  <si>
    <t>SI050038</t>
  </si>
  <si>
    <t>ARONI-HUARACCA-LUCAS</t>
  </si>
  <si>
    <t>LA-PAZ---425</t>
  </si>
  <si>
    <t>SI050039</t>
  </si>
  <si>
    <t>QUISPE-MAXI--MARGARITA</t>
  </si>
  <si>
    <t>AV-INDEPENDENCIA-S-N</t>
  </si>
  <si>
    <t>SI020290</t>
  </si>
  <si>
    <t>MEZA-CCAMA--VENANCIO</t>
  </si>
  <si>
    <t>AV-ANDRES-AVELINO-CACERES-S-N</t>
  </si>
  <si>
    <t>SI021264</t>
  </si>
  <si>
    <t>USCAMAYTA-QUISPE--HUGO</t>
  </si>
  <si>
    <t>PROLG-JR-PARAISO-S-N</t>
  </si>
  <si>
    <t>QUINTANILLA-OBLITAS--ABRAHAN</t>
  </si>
  <si>
    <t>AV--PACHACUTEC-NORTE-S-N--VIA-</t>
  </si>
  <si>
    <t>HUANCO-MAMANI--LUCIA</t>
  </si>
  <si>
    <t>VIA-DE-EVITAMIENTO-AV-PACHACUT</t>
  </si>
  <si>
    <t>SI010220</t>
  </si>
  <si>
    <t>ANTONIO-MONTA-O--JULIO-CESAR</t>
  </si>
  <si>
    <t>JR--VICTOR-RAUL-H--DE-LA-TORRE</t>
  </si>
  <si>
    <t>CANO-MEZA--JOSE-TORIBIO</t>
  </si>
  <si>
    <t>AV--NUEVA-GENERACION</t>
  </si>
  <si>
    <t>HUAMANI-GUTIERREZ-JESUS-A</t>
  </si>
  <si>
    <t>LOS-ALAMOS-B-3-AGRICULTUR</t>
  </si>
  <si>
    <t>MARANGANI</t>
  </si>
  <si>
    <t>SI010274</t>
  </si>
  <si>
    <t>ZARATE-CASA--JAIME-JHON</t>
  </si>
  <si>
    <t>A--UGARTE-210-MARANGANI</t>
  </si>
  <si>
    <t>PUMA-SOTO-ERNESTO</t>
  </si>
  <si>
    <t>BOLOGNESI-106</t>
  </si>
  <si>
    <t>RIOS-TAPARA-MARIO</t>
  </si>
  <si>
    <t>JESUS-MARIA-111</t>
  </si>
  <si>
    <t>I-E--56025--MARANGANI</t>
  </si>
  <si>
    <t>DIST-MARANGANI</t>
  </si>
  <si>
    <t>CONCHA-RAMOS--WALTER</t>
  </si>
  <si>
    <t>JUNIN-401</t>
  </si>
  <si>
    <t>QUISPE-CCAMA-BASILIO</t>
  </si>
  <si>
    <t>JUNIN-433-MARANGANI</t>
  </si>
  <si>
    <t>SI010712</t>
  </si>
  <si>
    <t>ASC-CIVIL-PRODUCTORES-Y-TRANSF</t>
  </si>
  <si>
    <t>JR-VILCANOTA--S-N</t>
  </si>
  <si>
    <t>SI010268</t>
  </si>
  <si>
    <t>CUYO-CCACHURA--FREDY</t>
  </si>
  <si>
    <t>CALLE-PUMACAHUA-118</t>
  </si>
  <si>
    <t>CCAMA-CHURA-ASCENCIO</t>
  </si>
  <si>
    <t>VDA-DE-PARQUE--RUFIN</t>
  </si>
  <si>
    <t>LIMA-221</t>
  </si>
  <si>
    <t>QUISPE-VDA-DE-CONDORI---BRIGID</t>
  </si>
  <si>
    <t>MANUEL-PRADO428</t>
  </si>
  <si>
    <t>SUCARI-SULPICIO</t>
  </si>
  <si>
    <t>MIRAFLORES-104</t>
  </si>
  <si>
    <t>CEOCALLA-H--ELICEO</t>
  </si>
  <si>
    <t>ACOMAYO-S-N-</t>
  </si>
  <si>
    <t>MENDOZA-H--FRANCISCO</t>
  </si>
  <si>
    <t>ALFONZO-UGARTE-S-N-</t>
  </si>
  <si>
    <t>SI010703</t>
  </si>
  <si>
    <t>BARRIENTOS-YUCRA--LUCRECIA</t>
  </si>
  <si>
    <t>ASOC--P-V--MARIA-JERUSALEN</t>
  </si>
  <si>
    <t>SI010266</t>
  </si>
  <si>
    <t>CHINO-RAMOS-PEDRO</t>
  </si>
  <si>
    <t>CCALLE-MAXI--HENRY-ADRIAN</t>
  </si>
  <si>
    <t>PROLG-AV-ROGER-AGUILAR-S-N</t>
  </si>
  <si>
    <t>MAMANI-CHANA--HIPOLITO</t>
  </si>
  <si>
    <t>APV-4-DE-JULIO--B-5-L-8</t>
  </si>
  <si>
    <t>BUSTAMANTE-CORDOBA--ISMAEL</t>
  </si>
  <si>
    <t>APV-4-DE-JULIO-C2-L-4</t>
  </si>
  <si>
    <t>PILCO-RAMIREZ--MARIA-CLEOFE</t>
  </si>
  <si>
    <t>APV-4-DE-JULIO-A-3-4-CHECTUYOC</t>
  </si>
  <si>
    <t>MURIEL-QUISPE--SIMON</t>
  </si>
  <si>
    <t>APV-4-DE-JULIO-B4-L-3</t>
  </si>
  <si>
    <t>CCAHUANA-MAMANI--MATIAS</t>
  </si>
  <si>
    <t>AV--PROGRESO-335</t>
  </si>
  <si>
    <t>CASTELO-Z-SIMON</t>
  </si>
  <si>
    <t>PROGRESO-224</t>
  </si>
  <si>
    <t>SUNI-CHINO--FRANCISCO</t>
  </si>
  <si>
    <t>AV-10-DE-JULIO--LL-15</t>
  </si>
  <si>
    <t>SI050037</t>
  </si>
  <si>
    <t>ROQUE-CH-FERMIN</t>
  </si>
  <si>
    <t>AV-JAPAM-G-8</t>
  </si>
  <si>
    <t>SOTO-CONSA-AQUILINO</t>
  </si>
  <si>
    <t>AV-JAPAM-LL-12</t>
  </si>
  <si>
    <t>DIAZ-LACUTA--BENJAMIN</t>
  </si>
  <si>
    <t>AV--JAPAN-S-N</t>
  </si>
  <si>
    <t>PUMACCARI-LIZARASO--MELQUIADES</t>
  </si>
  <si>
    <t>JR-UNION-S-N-MIRAFORES</t>
  </si>
  <si>
    <t>VARA-QUISPE--ANGELA</t>
  </si>
  <si>
    <t>AV--REPUBLICA-POPULAR-HUNGRIA-</t>
  </si>
  <si>
    <t>HANCCO-M-LUCIO</t>
  </si>
  <si>
    <t>AV-HUNORIA---S-N</t>
  </si>
  <si>
    <t>APAZA-CCASA-VILMA</t>
  </si>
  <si>
    <t>LA-PAZ-B-23-MIRAFLORES</t>
  </si>
  <si>
    <t>FLOREZ-A-LUIS</t>
  </si>
  <si>
    <t>JR-AMAUTA-K-5</t>
  </si>
  <si>
    <t>CONDE-APARICIO--GIOVANA</t>
  </si>
  <si>
    <t>PLAZA-TUPAC-AMARU-S-N</t>
  </si>
  <si>
    <t>SUCARI-VILCA--BERNARDO-SAMUEL</t>
  </si>
  <si>
    <t>JR--AMAUTA-S-N--MIRAFLORES</t>
  </si>
  <si>
    <t>CAHUANA-Q-CERAFIN</t>
  </si>
  <si>
    <t>LUIS-TEVEZ--B-11</t>
  </si>
  <si>
    <t>CALLER-LOAYZA-FROILAN-F</t>
  </si>
  <si>
    <t>AV--HUNGRIA--239</t>
  </si>
  <si>
    <t>GOMEZ-GUERRA--MAGDA</t>
  </si>
  <si>
    <t>DIEGO-CRISTOBAL-TUPAC--AMARU-B</t>
  </si>
  <si>
    <t>SI050312</t>
  </si>
  <si>
    <t>MAMANI-B-LADISLAO</t>
  </si>
  <si>
    <t>DIEGO-T-AMARU-C-9</t>
  </si>
  <si>
    <t>HUAMAN-YANA--GRACIELA</t>
  </si>
  <si>
    <t>LA-FLORIDA-CALLE-SAN-FRANCISCO</t>
  </si>
  <si>
    <t>LOPE-MEZA-CARLOS</t>
  </si>
  <si>
    <t>LA-FLORIDA-II-ETAPA-A-17</t>
  </si>
  <si>
    <t>SENCCA-SALAS-NICOLASA</t>
  </si>
  <si>
    <t>AV-HUNGRIA--ASO-LA-FLORID</t>
  </si>
  <si>
    <t>TACA-HUARACA-LEON</t>
  </si>
  <si>
    <t>AMAUTA-S-N-LA-FLORIDA-III</t>
  </si>
  <si>
    <t>APAZA-PAREDES--ELIAS</t>
  </si>
  <si>
    <t>AV-INDEPENDENCIA--S-N</t>
  </si>
  <si>
    <t>HUAYHUA-FLORES--ALEJANDRO</t>
  </si>
  <si>
    <t>AV--PACIFICO-URB-PUERTO--NUEVO</t>
  </si>
  <si>
    <t>SI050303</t>
  </si>
  <si>
    <t>MACEDO-P-PAULINO</t>
  </si>
  <si>
    <t>TRAPICHE-S-N</t>
  </si>
  <si>
    <t>APAZA-C--MOISES</t>
  </si>
  <si>
    <t>TRAPICHE-S-N-</t>
  </si>
  <si>
    <t>SANCHEZ-M-FELICIANA</t>
  </si>
  <si>
    <t>TRAPICHE</t>
  </si>
  <si>
    <t>SI010308</t>
  </si>
  <si>
    <t>VELASQUEZ-V-NICOLAS</t>
  </si>
  <si>
    <t>COM-USCUPATA---S-N</t>
  </si>
  <si>
    <t>SI010309</t>
  </si>
  <si>
    <t>CONZA-A-FELIPE</t>
  </si>
  <si>
    <t>SI010228</t>
  </si>
  <si>
    <t>CONDE-CRUZ--ELIAS</t>
  </si>
  <si>
    <t>ANEXO-ILLACUYO--S-N</t>
  </si>
  <si>
    <t>CCAHUANA-L-GUILERMO</t>
  </si>
  <si>
    <t>C-ILLACUYO-S-N</t>
  </si>
  <si>
    <t>JALLO-H-DOMINGO</t>
  </si>
  <si>
    <t>SI010227</t>
  </si>
  <si>
    <t>MONTOYA-LIPA--JUAN</t>
  </si>
  <si>
    <t>HERCCA-LLACTIHUIRI</t>
  </si>
  <si>
    <t>QUISPE-ZAMATA--EFRAIN</t>
  </si>
  <si>
    <t>LLACTAHUIRI--HERCCA</t>
  </si>
  <si>
    <t>CJUNO-Y--VICENTE</t>
  </si>
  <si>
    <t>HERCCA</t>
  </si>
  <si>
    <t>SI010636</t>
  </si>
  <si>
    <t>QUISPE-MAMANI--DIONISIO</t>
  </si>
  <si>
    <t>BARRIO-OLLERIA</t>
  </si>
  <si>
    <t>SI010226</t>
  </si>
  <si>
    <t>CAHUANA-QUISPE--ABRAHAM</t>
  </si>
  <si>
    <t>COM-HERCCA-S-N</t>
  </si>
  <si>
    <t>CCUNO-YAPO--JUVENAL</t>
  </si>
  <si>
    <t>BARRIO-CHULLO-HERCCA</t>
  </si>
  <si>
    <t>LIPA-LIPA--NAZARIA</t>
  </si>
  <si>
    <t>BARRIO-CHULLO-S-N</t>
  </si>
  <si>
    <t>SI010620</t>
  </si>
  <si>
    <t>CHAMPI-MONTOYA--TIBURCIO</t>
  </si>
  <si>
    <t>BARRIO-CHURULLA-HERCCA</t>
  </si>
  <si>
    <t>SI030045</t>
  </si>
  <si>
    <t>ASOCIACION-ISRAELITA</t>
  </si>
  <si>
    <t>AV-LA-VERDAD-S-N</t>
  </si>
  <si>
    <t>APARICIO-NINA--HELIN-YESERLY</t>
  </si>
  <si>
    <t>AV--CONFEDERACION-S-N</t>
  </si>
  <si>
    <t>ALVAREZ-L--MARTIN</t>
  </si>
  <si>
    <t>PROG-CONFEDERACION--S-N</t>
  </si>
  <si>
    <t>HUAYLLANI-HUARCA--LUIS-GONZAGA</t>
  </si>
  <si>
    <t>PJ--MARIA-AUXILIADORA-S-N</t>
  </si>
  <si>
    <t>AGUILAR-BLANCO--MODESTO</t>
  </si>
  <si>
    <t>BARRIO-ACCOBAMBA-S-N-PAMPA-PHA</t>
  </si>
  <si>
    <t>ANTENOR-H-MANUEL</t>
  </si>
  <si>
    <t>CALLE-9-DE-OCTUBRE--S-N</t>
  </si>
  <si>
    <t>SI030055</t>
  </si>
  <si>
    <t>QUISPE-P-SATURNINA</t>
  </si>
  <si>
    <t>AGRP-ANDA-LUZ--S-N</t>
  </si>
  <si>
    <t>CABRERA-Q-FRANCISCO</t>
  </si>
  <si>
    <t>MENDOZA-PILLCO-JUAN</t>
  </si>
  <si>
    <t>J-C-MARIATEGUI-C-12-A-LUZ</t>
  </si>
  <si>
    <t>QUINONES-CH-VILMA</t>
  </si>
  <si>
    <t>TACO-LLAVE--ARMANDO</t>
  </si>
  <si>
    <t>AV--FINLANDIA-S-N-COM-PAMPA-AN</t>
  </si>
  <si>
    <t>QUISPE-CALLO--ALFREDO</t>
  </si>
  <si>
    <t>AV-FILANDIA--S-N</t>
  </si>
  <si>
    <t>CONDORI-CH-FELICIANO</t>
  </si>
  <si>
    <t>AV-FINLANDIA--S-N</t>
  </si>
  <si>
    <t>PUMA-HUARAYA--ESTEBAN</t>
  </si>
  <si>
    <t>AV-FILANDIA-S-N</t>
  </si>
  <si>
    <t>QUISPE-QUISPE-EUSEBIA</t>
  </si>
  <si>
    <t>AV-FILANDIA-PAMPA-ANSA</t>
  </si>
  <si>
    <t>HUARACHA-MAMANI--MAURO-CLEMENT</t>
  </si>
  <si>
    <t>A-P-V-ANDA-LUZ-S-N</t>
  </si>
  <si>
    <t>TTUPA-PARHUAYO--CARMEN</t>
  </si>
  <si>
    <t>BARRIO-CHILI-CHILLI--S-N</t>
  </si>
  <si>
    <t>SI030612</t>
  </si>
  <si>
    <t>YUGRA-GUILLERMINA</t>
  </si>
  <si>
    <t>B-JANAC-CCUCHO-S-N</t>
  </si>
  <si>
    <t>QUISPE-MENDOZA--LOURDES</t>
  </si>
  <si>
    <t>BARRIO-JANAC-KUCHU-S-N</t>
  </si>
  <si>
    <t>SI030054</t>
  </si>
  <si>
    <t>TUPA-T-FLORENTINO</t>
  </si>
  <si>
    <t>CHILI-CHILI--S-N</t>
  </si>
  <si>
    <t>CCANA-ROMERO--ALEX</t>
  </si>
  <si>
    <t>CONDORI-P-FELICIANO</t>
  </si>
  <si>
    <t>SI030295</t>
  </si>
  <si>
    <t>THUPA-D-H-GUMERCINDA</t>
  </si>
  <si>
    <t>CRUZ-CUNCA</t>
  </si>
  <si>
    <t>SI030300</t>
  </si>
  <si>
    <t>QUISPE-CRUZ-JUAN</t>
  </si>
  <si>
    <t>B-CHILCOMA--CHIHUACO</t>
  </si>
  <si>
    <t>CONTO-DE-E-EMILIA</t>
  </si>
  <si>
    <t>COM-CHILCOMA-CHIHUACO</t>
  </si>
  <si>
    <t>CONTO-D-CC--VICENTA</t>
  </si>
  <si>
    <t>CHILCOMA-S-N</t>
  </si>
  <si>
    <t>SI030296</t>
  </si>
  <si>
    <t>HUAYNILLO-HANCCO--SIMON</t>
  </si>
  <si>
    <t>SUCUTANI-S-N</t>
  </si>
  <si>
    <t>SI030297</t>
  </si>
  <si>
    <t>MEDRANO-C--FRANCISCO</t>
  </si>
  <si>
    <t>COLLANA-CHIHUACO</t>
  </si>
  <si>
    <t>SI030661</t>
  </si>
  <si>
    <t>MERCADO-PAUCAR--SIMON</t>
  </si>
  <si>
    <t>BARRIO-PHAQCHA-CHIHUACO-S-N</t>
  </si>
  <si>
    <t>ARMUTO-DE-CHOQUE--MARIA-NATIVI</t>
  </si>
  <si>
    <t>BARRIO-LAMAYO-CHIHUACO-S-N</t>
  </si>
  <si>
    <t>LOCAL-COMUNAL-LAMAYO</t>
  </si>
  <si>
    <t>COM--CHIHUACO-LAMAYO</t>
  </si>
  <si>
    <t>SI030298</t>
  </si>
  <si>
    <t>QQUESO-DE-C-HONORATA</t>
  </si>
  <si>
    <t>B-CHARA-CHIHUACO</t>
  </si>
  <si>
    <t>JARA-QUISPE--SERAPIO</t>
  </si>
  <si>
    <t>B--CHARA--CHIHUACO</t>
  </si>
  <si>
    <t>CALCINA-CHAMPI--JAIME</t>
  </si>
  <si>
    <t>B--CHARA-COM--CHIHUACO</t>
  </si>
  <si>
    <t>QUISPE-QQ--NELY</t>
  </si>
  <si>
    <t>CHARA-CH--S-N</t>
  </si>
  <si>
    <t>CCALA-QUESO--MIGUEL</t>
  </si>
  <si>
    <t>BARRIO-CHARA--CHIHUACO</t>
  </si>
  <si>
    <t>QQUESSO-LUCIANO</t>
  </si>
  <si>
    <t>QQUESO-D-CONTO-HONORATA</t>
  </si>
  <si>
    <t>B-CHARA-CHIHUACO-SICUANI</t>
  </si>
  <si>
    <t>QQUESSO-JUAN-GREGORI</t>
  </si>
  <si>
    <t>ZEVALLOS-Q--BENITO</t>
  </si>
  <si>
    <t>CHARA-CH</t>
  </si>
  <si>
    <t>CONTO-L--CEFERINO</t>
  </si>
  <si>
    <t>VELASQUEZ-BERNARDINO</t>
  </si>
  <si>
    <t>CHARA</t>
  </si>
  <si>
    <t>TACURI-LIMACHI--JUAN</t>
  </si>
  <si>
    <t>CHIHUACO-CHAUPIMAYO</t>
  </si>
  <si>
    <t>CONTO-CCOPA--PABLO</t>
  </si>
  <si>
    <t>CHAUPIMAYO</t>
  </si>
  <si>
    <t>CCOPA-HANCO-EUGENIO</t>
  </si>
  <si>
    <t>B-CHAUPIMUYO-CHIHUACO</t>
  </si>
  <si>
    <t>TACURI-D-Q-MARCELINA</t>
  </si>
  <si>
    <t>CHAUPIMAYO-CHIHUACO</t>
  </si>
  <si>
    <t>SI030299</t>
  </si>
  <si>
    <t>CCOPA-CCORIMANYA-AGABITO</t>
  </si>
  <si>
    <t>BARRIO-LARI--CHIHUACO</t>
  </si>
  <si>
    <t>SI010230</t>
  </si>
  <si>
    <t>CAHUANA-H-ANGEL</t>
  </si>
  <si>
    <t>TOTORANI</t>
  </si>
  <si>
    <t>SI030048</t>
  </si>
  <si>
    <t>CHECYA-RAMIREZ--LUCHO</t>
  </si>
  <si>
    <t>CERCOPATA</t>
  </si>
  <si>
    <t>QUISPE-MAMANI--DOLORES-LILIA</t>
  </si>
  <si>
    <t>QUEHUAR---S-N</t>
  </si>
  <si>
    <t>QUISPE-TT-PEDRO</t>
  </si>
  <si>
    <t>TTITO-MIGUEL</t>
  </si>
  <si>
    <t>JARA-RAMOS--DOMINGA</t>
  </si>
  <si>
    <t>TUPAC-AMARU-S-N-QQUEHUAR</t>
  </si>
  <si>
    <t>CAHUE-LAURA--CECILIO</t>
  </si>
  <si>
    <t>BARRIO-CRUZ-CUNCA-S-N</t>
  </si>
  <si>
    <t>SI030047</t>
  </si>
  <si>
    <t>CHECYA-T-PRUDENCIO</t>
  </si>
  <si>
    <t>SI030049</t>
  </si>
  <si>
    <t>CHURA-HUAIHUA--ELADIO</t>
  </si>
  <si>
    <t>COMD-QQUEHUAR--S-N</t>
  </si>
  <si>
    <t>ROMERO-PAIVA-RAIMUNDA</t>
  </si>
  <si>
    <t>B-HANCCOCCALA-QUEHUAR</t>
  </si>
  <si>
    <t>BONIFACIO-ROMERO--WALTER</t>
  </si>
  <si>
    <t>UNION-JUVENTUD-S-N</t>
  </si>
  <si>
    <t>RAMIREZ-CHECYA-LUIS</t>
  </si>
  <si>
    <t>B-HANCCOCALA-QUEHUAR</t>
  </si>
  <si>
    <t>CCASA-QUISPE--BONIFACIA</t>
  </si>
  <si>
    <t>COMUNIDAD-QUEHUAR---S-N</t>
  </si>
  <si>
    <t>MAMANI-H-LUIS</t>
  </si>
  <si>
    <t>FERNANDEZ-AQUEHUA--PRIMITIVO</t>
  </si>
  <si>
    <t>AV--QUISHUARANI</t>
  </si>
  <si>
    <t>SI030056</t>
  </si>
  <si>
    <t>MAMANI-APAZA--VITALIANO</t>
  </si>
  <si>
    <t>C--INDEPENDENCIA-MZ--B-24--HUA</t>
  </si>
  <si>
    <t>CRUZ-HUAYHUA-HILDA</t>
  </si>
  <si>
    <t>B--HUARMILLACTA--QUEHUAR</t>
  </si>
  <si>
    <t>QUISPE-DE-T-ALEJANDR</t>
  </si>
  <si>
    <t>HUARMILLACTA</t>
  </si>
  <si>
    <t>MAMANI-CH-DORIS</t>
  </si>
  <si>
    <t>SAN PABLO</t>
  </si>
  <si>
    <t>SI030294</t>
  </si>
  <si>
    <t>IRCO-QUISPE--RAMIRO</t>
  </si>
  <si>
    <t>SANTA-BARBARA--S-N</t>
  </si>
  <si>
    <t>JIHUALLANCA-QUISPE--FORTUNATO</t>
  </si>
  <si>
    <t>C--P--M--SANTA-BARBARA</t>
  </si>
  <si>
    <t>YUCRA-RAMOS--PATRICIO</t>
  </si>
  <si>
    <t>SANTA-BARBARA</t>
  </si>
  <si>
    <t>CCARITA-CHAMPA--LUCIO</t>
  </si>
  <si>
    <t>SANTA-BARBARA-S-N</t>
  </si>
  <si>
    <t>CCARITA-CHAMPI--LUCIO</t>
  </si>
  <si>
    <t>SI030686</t>
  </si>
  <si>
    <t>HIHUALLANCA-JACINTO--TEODORA</t>
  </si>
  <si>
    <t>BARRIO-CCARITA--C-P-SANTA-BARB</t>
  </si>
  <si>
    <t>SI030050</t>
  </si>
  <si>
    <t>CHOQUE-F-FAUSTINO</t>
  </si>
  <si>
    <t>CCOLLPAPATA---S-N</t>
  </si>
  <si>
    <t>JALIXTO-R-JUAN</t>
  </si>
  <si>
    <t>CALLE-FINLANDIA---S-N</t>
  </si>
  <si>
    <t>JALIXTO-J-CASIMIRO</t>
  </si>
  <si>
    <t>PAMPA-LARI---S-N</t>
  </si>
  <si>
    <t>SI050302</t>
  </si>
  <si>
    <t>TAYRO-M--APOLINAR</t>
  </si>
  <si>
    <t>B--SILLOTA</t>
  </si>
  <si>
    <t>SOTO-MAYTA-MARIANO</t>
  </si>
  <si>
    <t>PAMPA-PHALLA</t>
  </si>
  <si>
    <t>SI030292</t>
  </si>
  <si>
    <t>IGLESIA-EVANGELICA-PERUAN</t>
  </si>
  <si>
    <t>COM--CCANCCAHUA</t>
  </si>
  <si>
    <t>VASQUEZ-PILLCO-TIMOTEO</t>
  </si>
  <si>
    <t>USCAMAYTA-PUMA-POLICARPO</t>
  </si>
  <si>
    <t>PILLCO-PUMA--ALEJANDRO</t>
  </si>
  <si>
    <t>PILLCO-QUISPE-WILBER</t>
  </si>
  <si>
    <t>COM-CCANCCAHUA</t>
  </si>
  <si>
    <t>SI030293</t>
  </si>
  <si>
    <t>NINA-DE-P--HILARIA</t>
  </si>
  <si>
    <t>COM--LIVINCAYA</t>
  </si>
  <si>
    <t>SI030053</t>
  </si>
  <si>
    <t>CATUNTA-CHALLCO--MELITON</t>
  </si>
  <si>
    <t>BARRIO-YUNCA---S-N</t>
  </si>
  <si>
    <t>PHUNO-DE-C-ELENA</t>
  </si>
  <si>
    <t>VISA-A-DEMECIO</t>
  </si>
  <si>
    <t>B-4-DE-FEBRERO--S-N</t>
  </si>
  <si>
    <t>ALARCON-DE-V-MELCHOR</t>
  </si>
  <si>
    <t>MOLLEPATA</t>
  </si>
  <si>
    <t>COTOHUANCA-C--FELIX</t>
  </si>
  <si>
    <t>SI030051</t>
  </si>
  <si>
    <t>LLOCLLE-L-BERNAVE</t>
  </si>
  <si>
    <t>BARRIO-PATAPATA--S-N</t>
  </si>
  <si>
    <t>HUANCA-Q-JUAN</t>
  </si>
  <si>
    <t>LUCREPAMPA</t>
  </si>
  <si>
    <t>QUISPE-DE-H-FLORENCI</t>
  </si>
  <si>
    <t>CHALCO-Q-AGUSTIN</t>
  </si>
  <si>
    <t>RUIZ-M-ASUNCION</t>
  </si>
  <si>
    <t>PAMPACCALASAYA</t>
  </si>
  <si>
    <t>SI030291</t>
  </si>
  <si>
    <t>CORAHUA-Q--FLORENCIO</t>
  </si>
  <si>
    <t>SUNCHU-CHUMO</t>
  </si>
  <si>
    <t>QUISPE-Q--FELICIANO</t>
  </si>
  <si>
    <t>SUNCHO-CH--S-N</t>
  </si>
  <si>
    <t>SI030052</t>
  </si>
  <si>
    <t>PHOCO-QUISPE--FRANCISCO</t>
  </si>
  <si>
    <t>COMUNIDAD--IPACUY</t>
  </si>
  <si>
    <t>CONDORI-M-FAUSTINO</t>
  </si>
  <si>
    <t>SECTOR-IPACUY</t>
  </si>
  <si>
    <t>MAMANI-NINA--JUSTINIANO</t>
  </si>
  <si>
    <t>BARRIO-CCALUYO</t>
  </si>
  <si>
    <t>CCALUYO--SANTA-BARBARA</t>
  </si>
  <si>
    <t>SI030658</t>
  </si>
  <si>
    <t>CONDORI-QUISPE--WILY</t>
  </si>
  <si>
    <t>COM-PATATINTA-VIV-05</t>
  </si>
  <si>
    <t>TINTA</t>
  </si>
  <si>
    <t>TELEFONICA-MOVILES-S-A-</t>
  </si>
  <si>
    <t>B--ROSASPATA-S-N-LOCALIDAD-PAT</t>
  </si>
  <si>
    <t>MAMANI-CCARITA--ROMALDO</t>
  </si>
  <si>
    <t>B--PATATINTA-COM-CALLANCA</t>
  </si>
  <si>
    <t>HUAMAN-CCORCCA--NICANOR</t>
  </si>
  <si>
    <t>COM--PATATINTA</t>
  </si>
  <si>
    <t>SI031226</t>
  </si>
  <si>
    <t>GUZMAN-RAMOS--MARUJA</t>
  </si>
  <si>
    <t>C-C-CALLANCA---BARRIO-HUILLCAN</t>
  </si>
  <si>
    <t>ALANOCA-MENDOZA--JOSE</t>
  </si>
  <si>
    <t>B--WILCANI-C-C-CALLANCA</t>
  </si>
  <si>
    <t>SI010224</t>
  </si>
  <si>
    <t>SULLCA-ARENAS--FERNANDO</t>
  </si>
  <si>
    <t>YERBABUENA--SUYO</t>
  </si>
  <si>
    <t>HUAMAN-MAMANI--FELIX</t>
  </si>
  <si>
    <t>BARRIO-YERBABUENA</t>
  </si>
  <si>
    <t>QUISPE-CCOPA-JUAN</t>
  </si>
  <si>
    <t>COM-SUYO</t>
  </si>
  <si>
    <t>HUANCO-T-FLORENCIA</t>
  </si>
  <si>
    <t>SECTOR-YERBABUENA---S-N</t>
  </si>
  <si>
    <t>ARCE-C-LUZMILA</t>
  </si>
  <si>
    <t>SECTOR-HUAYTA-MULLO---S-N</t>
  </si>
  <si>
    <t>SI010225</t>
  </si>
  <si>
    <t>QUISPE-T-FLORENCIO</t>
  </si>
  <si>
    <t>AQUINO-LLOCLLA--JULIAN</t>
  </si>
  <si>
    <t>COMUNIDAD--SUYO</t>
  </si>
  <si>
    <t>MARCOS-TITO-QUISPE</t>
  </si>
  <si>
    <t>HUAYTAMULLO---S-N</t>
  </si>
  <si>
    <t>HANCCO-BUSTAMANTE--AUGUSTA</t>
  </si>
  <si>
    <t>HANAC-HUICHAY---COM--SUYO</t>
  </si>
  <si>
    <t>SI010221</t>
  </si>
  <si>
    <t>ACHAHUANCO-MAMANI--LUCIO</t>
  </si>
  <si>
    <t>COM--SUYO-CHUMO</t>
  </si>
  <si>
    <t>CCAMA-RAMOS--BENEDICTA</t>
  </si>
  <si>
    <t>CHUMO---S-N</t>
  </si>
  <si>
    <t>C-E--JARDIN-DE-NINOS</t>
  </si>
  <si>
    <t>COM-CHUMO</t>
  </si>
  <si>
    <t>SI010222</t>
  </si>
  <si>
    <t>YUCRA-ROA--JUAN-CARLOS</t>
  </si>
  <si>
    <t>PROLG--AV--WIRACOCHA-S-N</t>
  </si>
  <si>
    <t>TTITO-AMBROCIA</t>
  </si>
  <si>
    <t>BARRIO-MUJUNSUYO--S-N</t>
  </si>
  <si>
    <t>BERRUSCO-QUISPE--PRISCA</t>
  </si>
  <si>
    <t>COM-CHUMO-BRR-PUJIO-PATA</t>
  </si>
  <si>
    <t>MURILLO-MAMANI--ISABEL</t>
  </si>
  <si>
    <t>BARRIO-JANAC-PAMPA-CHUMO-S-N</t>
  </si>
  <si>
    <t>SI010242</t>
  </si>
  <si>
    <t>HUAHUACCAPA-HUAYLLANI-DE-C---C</t>
  </si>
  <si>
    <t>BARRIO-JANAC-PAMPA-S-N</t>
  </si>
  <si>
    <t>QUISPE-C-SATURNINO</t>
  </si>
  <si>
    <t>CHUMO-B-JANAC-PAMPA---S-N</t>
  </si>
  <si>
    <t>MEZA-MENDOZA--SABINA</t>
  </si>
  <si>
    <t>PRLOG--WIRACOCHA-S-N</t>
  </si>
  <si>
    <t>DIAS-MARTINEZ-FELICITAS</t>
  </si>
  <si>
    <t>HANACPANPA-CHUMO</t>
  </si>
  <si>
    <t>QUISPE-ARONI--OLGA</t>
  </si>
  <si>
    <t>PROLG-CARLOS-MARX-S-N</t>
  </si>
  <si>
    <t>HUILLCA-MAMANI--PAULINA</t>
  </si>
  <si>
    <t>JR--WIRACOCHA--S-N</t>
  </si>
  <si>
    <t>HUILLCA-T-JACINTO</t>
  </si>
  <si>
    <t>TINTAYA-MAMANI--ORLANDO</t>
  </si>
  <si>
    <t>CHUMO-JANAC-PAMPA</t>
  </si>
  <si>
    <t>CCOA-QUISPE--FRUCTUOSO</t>
  </si>
  <si>
    <t>CHUMO-JANAC-PAMPA--S-N</t>
  </si>
  <si>
    <t>ACHAHUANCO-V-DANIEL</t>
  </si>
  <si>
    <t>MEZA-CHARAJA-MARTIN</t>
  </si>
  <si>
    <t>PRIMERO-DE-MAYO-S-N</t>
  </si>
  <si>
    <t>SOTO-ACHAHUANCO--PEDRO</t>
  </si>
  <si>
    <t>URAYPAMPA-SECTOR-I-CHUMO</t>
  </si>
  <si>
    <t>QUISPE-SONCCO--OLGA</t>
  </si>
  <si>
    <t>CHUMO-URAYPAMPA</t>
  </si>
  <si>
    <t>MERMA-CHOQUE--PAULA</t>
  </si>
  <si>
    <t>BARRIO-URAYPAMPA-S-N</t>
  </si>
  <si>
    <t>ACHAHUANCO-ROMERO--PRUDENCIO</t>
  </si>
  <si>
    <t>PROLG-CANCHIS--S-N</t>
  </si>
  <si>
    <t>HUAMAN-ACHAHUANCO--MAURO</t>
  </si>
  <si>
    <t>CONDORI-CONCHA--ANTONIA</t>
  </si>
  <si>
    <t>BARRIO-URAY-PAMPA-S-N</t>
  </si>
  <si>
    <t>SI010217</t>
  </si>
  <si>
    <t>CONDORI-VDA-V-MARGAR</t>
  </si>
  <si>
    <t>BR-URAYPAMPA-II--S-N</t>
  </si>
  <si>
    <t>SI010256</t>
  </si>
  <si>
    <t>SERVICENTRO-VIRGEN-DEL-CARMEN-</t>
  </si>
  <si>
    <t>CARRETERA-SICUANI-JULIACA-KM-5</t>
  </si>
  <si>
    <t>CCAMA-B--JUAN</t>
  </si>
  <si>
    <t>CHACAPATA---S-N</t>
  </si>
  <si>
    <t>SI010254</t>
  </si>
  <si>
    <t>LIPA-Q--RAMON</t>
  </si>
  <si>
    <t>BARRIO-BAJO---S-N</t>
  </si>
  <si>
    <t>SI030687</t>
  </si>
  <si>
    <t>QUISPE-CCARITA--ANTONIO-ABAD</t>
  </si>
  <si>
    <t>BARRIO-MACHACCOYO-S-N</t>
  </si>
  <si>
    <t>SI030746</t>
  </si>
  <si>
    <t>ALANOCCA-MAMANI--ANICETO</t>
  </si>
  <si>
    <t>SI050739</t>
  </si>
  <si>
    <t>QUISPE-TTICA--BENIGNO</t>
  </si>
  <si>
    <t>COM--PAMPA-PHALLA-B-PATAPATA</t>
  </si>
  <si>
    <t>TAYPE-LUCA-A--EPIFANIA</t>
  </si>
  <si>
    <t>BARRIO-PATA-PATA-S-N</t>
  </si>
  <si>
    <t>SI050740</t>
  </si>
  <si>
    <t>TAYPE-FLORES--CASIANO</t>
  </si>
  <si>
    <t>BARRIO-CCOLLOCATA-S-N</t>
  </si>
  <si>
    <t>QUISPE-CALLO--FRANCISCA</t>
  </si>
  <si>
    <t>SI050743</t>
  </si>
  <si>
    <t>TELEFONICA-MOVILES-S-A</t>
  </si>
  <si>
    <t>C-C--PATACCALASAYA</t>
  </si>
  <si>
    <t>SONCCO-CAHUANA--FLORENTINO</t>
  </si>
  <si>
    <t>COM-PATACCALASAYA-I-S-N</t>
  </si>
  <si>
    <t>SONCCO-ESPITIA--WILFREDO</t>
  </si>
  <si>
    <t>COM--PATACALASAYA-BARRIO-QUISH</t>
  </si>
  <si>
    <t>LEON-MAMANI--ROMUALDO</t>
  </si>
  <si>
    <t>B--QUISHUARANI--PATACALASAYA</t>
  </si>
  <si>
    <t>SI010255</t>
  </si>
  <si>
    <t>ANTENA-T-V-</t>
  </si>
  <si>
    <t>COMUNIDAD-POMAORCCO</t>
  </si>
  <si>
    <t>SI010265</t>
  </si>
  <si>
    <t>SARAYA-JARA-MERCEDES</t>
  </si>
  <si>
    <t>SECTOR-MARCANI-CHECTUYOC</t>
  </si>
  <si>
    <t>SI010246</t>
  </si>
  <si>
    <t>HANCCO-APAZA--FREDY--MAURO</t>
  </si>
  <si>
    <t>CARRETERA-PANAMERICA-CHECTUYOC</t>
  </si>
  <si>
    <t>HUANCA-Q-MARTIN</t>
  </si>
  <si>
    <t>CHECTUYOC-PUCACHUPA---S-N</t>
  </si>
  <si>
    <t>SARAYA-M-FABIAN</t>
  </si>
  <si>
    <t>PUCACHUPA-CHECTUYOC</t>
  </si>
  <si>
    <t>SI010501</t>
  </si>
  <si>
    <t>CCASA-S-LAUREANA</t>
  </si>
  <si>
    <t>CARPAPATA-CHECTUYOC---S-N</t>
  </si>
  <si>
    <t>SALCEDO-CASA-WILBERT</t>
  </si>
  <si>
    <t>CARPAPATA-CHECTUYOC</t>
  </si>
  <si>
    <t>PILLCO-R-MARIA</t>
  </si>
  <si>
    <t>CHECTUYOC---S-N</t>
  </si>
  <si>
    <t>SI010269</t>
  </si>
  <si>
    <t>TORRES-TURPO--WASHIGTON</t>
  </si>
  <si>
    <t>CCOLLPAPAMPA--HANCCOHOCCA</t>
  </si>
  <si>
    <t>CHOQUE-HERENCIA--MARTHA</t>
  </si>
  <si>
    <t>AV--INDEPENDENCIA--MZ--C-LT-3-</t>
  </si>
  <si>
    <t>SI010271</t>
  </si>
  <si>
    <t>SALCEDO-CANAHUIRE--TITO</t>
  </si>
  <si>
    <t>HANCCOHOCCA-II</t>
  </si>
  <si>
    <t>LAGUNA-DE-C--FELICITAS</t>
  </si>
  <si>
    <t>HUAYLLAPUNCO-MARANGANI</t>
  </si>
  <si>
    <t>SI010260</t>
  </si>
  <si>
    <t>LIMA-CCOTO--PABLO</t>
  </si>
  <si>
    <t>COM-HUISCACHANI--S-N</t>
  </si>
  <si>
    <t>CUYO-HUILLCA--ORLANDO</t>
  </si>
  <si>
    <t>COM--HUISCACHANI</t>
  </si>
  <si>
    <t>SI010282</t>
  </si>
  <si>
    <t>FLOREZ-MEZA--LUCIO-CRISPIN</t>
  </si>
  <si>
    <t>COM--QUISINI</t>
  </si>
  <si>
    <t>CASTELO-CCAMA-MARIANO</t>
  </si>
  <si>
    <t>QUISINI</t>
  </si>
  <si>
    <t>SI010283</t>
  </si>
  <si>
    <t>QQUELCCA-H-ALEJANDRO</t>
  </si>
  <si>
    <t>HUARAPUNUNA---QUISINI</t>
  </si>
  <si>
    <t>CASTELO-QQUENTA--FRANCISCO</t>
  </si>
  <si>
    <t>BARRIO-HUALLO-S-N</t>
  </si>
  <si>
    <t>QQUENTA-CASTELO-JOSE</t>
  </si>
  <si>
    <t>HUAMAN-SUMIRE-PAULINO</t>
  </si>
  <si>
    <t>ROA-MAMANI--ROSA</t>
  </si>
  <si>
    <t>QUISINI-MARANGANI</t>
  </si>
  <si>
    <t>SI010284</t>
  </si>
  <si>
    <t>ROA-NAVARRO-FLORENCIO</t>
  </si>
  <si>
    <t>COM--LLALLAHUI</t>
  </si>
  <si>
    <t>SI010281</t>
  </si>
  <si>
    <t>CHAMPI-MAMANI-NATIVIDAD</t>
  </si>
  <si>
    <t>LICSAPAMPA-MAMUERA</t>
  </si>
  <si>
    <t>SI010275</t>
  </si>
  <si>
    <t>NOA-SUMIRE-MARINA</t>
  </si>
  <si>
    <t>COM-CCUYO</t>
  </si>
  <si>
    <t>CCAMA-CONDORI--GERONIMO</t>
  </si>
  <si>
    <t>CCUYO</t>
  </si>
  <si>
    <t>SI010277</t>
  </si>
  <si>
    <t>BARRIENTOS-DE-S--EVARISTA</t>
  </si>
  <si>
    <t>CHOQUEHUAYLLA-CUYO</t>
  </si>
  <si>
    <t>SI010278</t>
  </si>
  <si>
    <t>ALVAREZ-FLORES-FELICITAS</t>
  </si>
  <si>
    <t>MUNAPATA---CCUYO</t>
  </si>
  <si>
    <t>SI010279</t>
  </si>
  <si>
    <t>CRUZ-MAXI-MARIANO</t>
  </si>
  <si>
    <t>CCUYO-PAMPA</t>
  </si>
  <si>
    <t>CCANAHUIRE-ACHANCARAY--MAXIMO</t>
  </si>
  <si>
    <t>B--OCCORURO--SULLCA</t>
  </si>
  <si>
    <t>SI010262</t>
  </si>
  <si>
    <t>RIOS-HERENCIA-ANA</t>
  </si>
  <si>
    <t>COMUYAPO-SULLCA</t>
  </si>
  <si>
    <t>PAZO-HUILLCA-DANIEL</t>
  </si>
  <si>
    <t>CCUMUYAPU-SILLCA</t>
  </si>
  <si>
    <t>ARAPA-QUISINI-EMILIANO</t>
  </si>
  <si>
    <t>CCUMUYAPU-SULLCA</t>
  </si>
  <si>
    <t>AVILES-CCANAHUIRE--MARUJA-CARM</t>
  </si>
  <si>
    <t>KOMAYAPU--COM--SULLCA</t>
  </si>
  <si>
    <t>SI010272</t>
  </si>
  <si>
    <t>TICONA-VDA-M-EUSEBIA</t>
  </si>
  <si>
    <t>SILLY</t>
  </si>
  <si>
    <t>SI010286</t>
  </si>
  <si>
    <t>HIGUERA-CHURA--WILBERT</t>
  </si>
  <si>
    <t>COM--OCCOBAMBA--S-N</t>
  </si>
  <si>
    <t>ZARATE-CHURATA-RAUL</t>
  </si>
  <si>
    <t>CCACHIYUCA-OCCOBAMBA</t>
  </si>
  <si>
    <t>HUARACHA-MAYHUA--AGUSTIN</t>
  </si>
  <si>
    <t>BARRIO-CCACHUYUCCA-COM--OCCOBA</t>
  </si>
  <si>
    <t>SULLCARANI-CHURATA-ELIAS</t>
  </si>
  <si>
    <t>HUATTAPAMPA-OCCOBAMBA</t>
  </si>
  <si>
    <t>AGUILAR-TTITO-ALEJANDRO</t>
  </si>
  <si>
    <t>SI010288</t>
  </si>
  <si>
    <t>CAHUANA-YUCRA--OBDULIA</t>
  </si>
  <si>
    <t>B-CCOLLPAMUCCO--OCCOBAMBA</t>
  </si>
  <si>
    <t>HIGUERA-VDA-DE-H-ROCENDA</t>
  </si>
  <si>
    <t>ANTAHUIRE-OCCOBAMBA</t>
  </si>
  <si>
    <t>CCAMA-MAMANI--AYDEE</t>
  </si>
  <si>
    <t>COLLPAMOCCO</t>
  </si>
  <si>
    <t>SI011395</t>
  </si>
  <si>
    <t>CUYO-QUISPE--ELIAS</t>
  </si>
  <si>
    <t>SECT--A-UHUANCA-S-N-OCCOBAMBA</t>
  </si>
  <si>
    <t>HALANOCCA-VDA-DE-SARAYA--JUANA</t>
  </si>
  <si>
    <t>CONDORI-DEZA--PASCUAL</t>
  </si>
  <si>
    <t>SI011816</t>
  </si>
  <si>
    <t>MAMANI-HUILLCA--PEDRO-NOLASCO</t>
  </si>
  <si>
    <t>C-C--MALLCUNACA</t>
  </si>
  <si>
    <t>SI011818</t>
  </si>
  <si>
    <t>CCAHUATA-ALCCALAICO--MARCELINA</t>
  </si>
  <si>
    <t>C-C--TRIUNFO</t>
  </si>
  <si>
    <t>CONDORI-LABRA--FRANCISCO</t>
  </si>
  <si>
    <t>HUARCA-CHINO--FLOR-DE-MARGARIT</t>
  </si>
  <si>
    <t>YUCRA-QUISPE--ALBERTO</t>
  </si>
  <si>
    <t>NOA-MAMANI--MARIA</t>
  </si>
  <si>
    <t>SI011845</t>
  </si>
  <si>
    <t>HUARAYA-CCANSAYA--SIXTO</t>
  </si>
  <si>
    <t>CHAMPI-QUISPE--CIRILO-CESAR</t>
  </si>
  <si>
    <t>SI011846</t>
  </si>
  <si>
    <t>HUILLCA-LABRA--FLORENCIO</t>
  </si>
  <si>
    <t>C-C--BUENA-VISTA</t>
  </si>
  <si>
    <t>AYALA-MAMANI--DAMIANA</t>
  </si>
  <si>
    <t>PHUTURI-DE-LABRA--GUMERCINDA</t>
  </si>
  <si>
    <t>SI011726</t>
  </si>
  <si>
    <t>CUTIRE-CHURA--LUZ-MARINA</t>
  </si>
  <si>
    <t>C-C--ROSASPATA-I</t>
  </si>
  <si>
    <t>CONDE-MAMANI--OCTAVIANO</t>
  </si>
  <si>
    <t>SI011013</t>
  </si>
  <si>
    <t>CONDE-MAMANI--SOCORRO-JUANA</t>
  </si>
  <si>
    <t>C-C--CHU-OPATA-SEC--I</t>
  </si>
  <si>
    <t>HANCCO-CCOMPI--MARTIN</t>
  </si>
  <si>
    <t>SI011014</t>
  </si>
  <si>
    <t>SUMIRE-CCOMPI--JUSTO-RUFINO</t>
  </si>
  <si>
    <t>C-C--CHU-OPATA-SEC--II</t>
  </si>
  <si>
    <t>PUCHO-FERNANDEZ--FLORENTINO</t>
  </si>
  <si>
    <t>MAQQUE-MAMANI--TIMOTEA</t>
  </si>
  <si>
    <t>VARGAS-HANCCO--SEBASTIAN</t>
  </si>
  <si>
    <t>SI010934</t>
  </si>
  <si>
    <t>CUTIRE-CUTIRE--PABLO</t>
  </si>
  <si>
    <t>C-C--GRINGO-RACCAY-I</t>
  </si>
  <si>
    <t>HUARACHA-PACHAPUMA--ANDRES</t>
  </si>
  <si>
    <t>ARAGON-CUTIRE--ANICETO</t>
  </si>
  <si>
    <t>CUTIRE-SOTO--ARMANDO</t>
  </si>
  <si>
    <t>COPORAQUE</t>
  </si>
  <si>
    <t>SI010935</t>
  </si>
  <si>
    <t>DEZA-QUISPE--CELESTINO</t>
  </si>
  <si>
    <t>C-C--GRINGO-RACCAY-II</t>
  </si>
  <si>
    <t>ARONI-DEZA--EMILIANO</t>
  </si>
  <si>
    <t>SI010936</t>
  </si>
  <si>
    <t>SOTO-CUTIRE--ELIAS</t>
  </si>
  <si>
    <t>C-C--CASA-GRANDE</t>
  </si>
  <si>
    <t>SOTO-ARONI--FIDEL-AMERICO</t>
  </si>
  <si>
    <t>SI011724</t>
  </si>
  <si>
    <t>SUMIRE-CUTIRE--TIMOTEO</t>
  </si>
  <si>
    <t>C-C--ROSASPATA-II</t>
  </si>
  <si>
    <t>MAMANI-HUAYLLANI--ESTEBAN-</t>
  </si>
  <si>
    <t>SI010933</t>
  </si>
  <si>
    <t>MAMANI-HUAYLLANI--MAURO</t>
  </si>
  <si>
    <t>SI011668</t>
  </si>
  <si>
    <t>TORRES-PORTUGAL-DE-PUCHO--MART</t>
  </si>
  <si>
    <t>C-C--CCALCOTERA</t>
  </si>
  <si>
    <t>SI011722</t>
  </si>
  <si>
    <t>CA-ARI-MAMANI--SILVERIA</t>
  </si>
  <si>
    <t>C-C--PARCCO</t>
  </si>
  <si>
    <t>SI011725</t>
  </si>
  <si>
    <t>CA-ARI-MAMANI--PAULINO</t>
  </si>
  <si>
    <t>C-C--LLAULLINI</t>
  </si>
  <si>
    <t>NINA-HUAMAN--HERMENEGILDO</t>
  </si>
  <si>
    <t>SI011670</t>
  </si>
  <si>
    <t>CUTIRE-QUISPE--GREGORIO</t>
  </si>
  <si>
    <t>C-C--HANCCOJAHUA</t>
  </si>
  <si>
    <t>CHUCTAYA-QUISPE--FEDERICO</t>
  </si>
  <si>
    <t>LACUA-A-HANCCO--CRISTINA</t>
  </si>
  <si>
    <t>SI011675</t>
  </si>
  <si>
    <t>HUARANCCA-PUCHO--SUSANA</t>
  </si>
  <si>
    <t>SECT--HUAYLLAPUCRO-S-N-C-URINS</t>
  </si>
  <si>
    <t>CHUTA-SANKA--MOISES</t>
  </si>
  <si>
    <t>C-C--SANTA-PAULA-</t>
  </si>
  <si>
    <t>SI011672</t>
  </si>
  <si>
    <t>LLANCCACURO-CUTIRE--LUCIO</t>
  </si>
  <si>
    <t>C-C--HANTTA</t>
  </si>
  <si>
    <t>MAMANI-CCALTA--WILLIAN</t>
  </si>
  <si>
    <t>CHUTA-CCALTA--MARI-LUZ</t>
  </si>
  <si>
    <t>SI011674</t>
  </si>
  <si>
    <t>CHAMPI-DEZA--ABRAHAM-ERIBERTO</t>
  </si>
  <si>
    <t>C-C--LIMANI-BAJO</t>
  </si>
  <si>
    <t>DEZA-AYMA--FORTUNATO-BASILIDES</t>
  </si>
  <si>
    <t>DEZA-SAYCO--JUSTO-RENE</t>
  </si>
  <si>
    <t>SAYCO-CJUNO--LUCIO</t>
  </si>
  <si>
    <t>SI011671</t>
  </si>
  <si>
    <t>CUTIRE-CUTIRE--JUANA</t>
  </si>
  <si>
    <t>C-C--YURACCANCHA</t>
  </si>
  <si>
    <t>CUTIRE-CUTIRE--ARTURO-WENCESLA</t>
  </si>
  <si>
    <t>MAMANI-SOTO--BONIFACIA</t>
  </si>
  <si>
    <t>SI011676</t>
  </si>
  <si>
    <t>CONDORI-HUAYLLANI--LEONOR</t>
  </si>
  <si>
    <t>C-C--INKACANCHA</t>
  </si>
  <si>
    <t>CUTIRE-PUCHO--TOMAS</t>
  </si>
  <si>
    <t>FERNANDEZ-HUAMAN--HUGO</t>
  </si>
  <si>
    <t>C-C--EXALTACION</t>
  </si>
  <si>
    <t>C-C--ORCCOCCA</t>
  </si>
  <si>
    <t>SI011706</t>
  </si>
  <si>
    <t>ANTONIO-RODRIGO--CARMEN</t>
  </si>
  <si>
    <t>C-C--SOMBRERONI</t>
  </si>
  <si>
    <t>MONTA-EZ-ANTONIO--ZENON-MAURO</t>
  </si>
  <si>
    <t>SI011705</t>
  </si>
  <si>
    <t>MENDOZA-DE-JAVIER--RICARDA</t>
  </si>
  <si>
    <t>C-C--HUAYTO</t>
  </si>
  <si>
    <t>MONTA-EZ-MONTA-EZ--ADOLFO-COSM</t>
  </si>
  <si>
    <t>CHOQUEPUMA-CCACYAVILCA--SANTIA</t>
  </si>
  <si>
    <t>PUMA-MENDOZA--AURELIO</t>
  </si>
  <si>
    <t>SI011704</t>
  </si>
  <si>
    <t>MONTA-EZ-HUILLCA--ANDRES</t>
  </si>
  <si>
    <t>C-C--PUCARAPATA</t>
  </si>
  <si>
    <t>SI011703</t>
  </si>
  <si>
    <t>CONDO-ANTONIO--ELEUTERIO</t>
  </si>
  <si>
    <t>C-C--HUANCARPAMPA</t>
  </si>
  <si>
    <t>SI011702</t>
  </si>
  <si>
    <t>PFUTURI-HUAYHUA--FRANCK-REINAL</t>
  </si>
  <si>
    <t>C-C--CHUIQUIPAMPA</t>
  </si>
  <si>
    <t>SUNI-PUMA--SILVESTRE</t>
  </si>
  <si>
    <t>SI011765</t>
  </si>
  <si>
    <t>ROQUE-DE-GUTIERREZ--BASILIA</t>
  </si>
  <si>
    <t>SECTOR-CHAQUENA---QUELLOCCACCA</t>
  </si>
  <si>
    <t>CCORICASA-PICHARDO--AQUILINO</t>
  </si>
  <si>
    <t>C-C--LARAMANI</t>
  </si>
  <si>
    <t>SI011766</t>
  </si>
  <si>
    <t>SUNI-PUMA--ESTEBAN</t>
  </si>
  <si>
    <t>C-C--CHAQUENA-CJALUYO</t>
  </si>
  <si>
    <t>SUNI-PUMA--BRAULIO</t>
  </si>
  <si>
    <t>SI011719</t>
  </si>
  <si>
    <t>CCOA-PONTECIL--MAURO</t>
  </si>
  <si>
    <t>YANAOCA</t>
  </si>
  <si>
    <t>CCOA-PONTECIL--SANTOS</t>
  </si>
  <si>
    <t>SI011708</t>
  </si>
  <si>
    <t>CCOA-QUISPE--JUAN-DE-LA-CRUZ</t>
  </si>
  <si>
    <t>C-C--TARCUYO</t>
  </si>
  <si>
    <t>HUILLCA-SUNI--LUISA-CIPRIANA</t>
  </si>
  <si>
    <t>AYALA-HUILLCA--VILMA-YUDY</t>
  </si>
  <si>
    <t>ROQUE-GUTIERREZ--BARTOLOME</t>
  </si>
  <si>
    <t>SI011709</t>
  </si>
  <si>
    <t>SALAS-TACO--CARMELA</t>
  </si>
  <si>
    <t>C-C--A-A-I</t>
  </si>
  <si>
    <t>SI011710</t>
  </si>
  <si>
    <t>YUCRA-CHINO--TERECITA</t>
  </si>
  <si>
    <t>C-C--CHORRILLOS-CENTRAL</t>
  </si>
  <si>
    <t>HUILLCA-QUISPE--ANDRES</t>
  </si>
  <si>
    <t>QUISPE-VIUDA-DE-HUILLCA--TOMAS</t>
  </si>
  <si>
    <t>SI011711</t>
  </si>
  <si>
    <t>HUANACO-DE-LABRA--SUSANA</t>
  </si>
  <si>
    <t>C-C--ALTO-CHORRILLOS</t>
  </si>
  <si>
    <t>SI011701</t>
  </si>
  <si>
    <t>LOCAL-COMUNAL--CCAYHUA-CENTRAL</t>
  </si>
  <si>
    <t>C-C--CCAYHUA-CENTRAL</t>
  </si>
  <si>
    <t>FLORES-TACO--CIRILO</t>
  </si>
  <si>
    <t>MARQUEZ-BURGOS--RICARDO-ALBERT</t>
  </si>
  <si>
    <t>AYSA-HUILLCA--LUCIO</t>
  </si>
  <si>
    <t>SI011700</t>
  </si>
  <si>
    <t>TACO-CCOLQQUE--VICTOR</t>
  </si>
  <si>
    <t>C-C--HUISCACHANI</t>
  </si>
  <si>
    <t>RODRIGUEZ-CCOLQQUE--NESTOR</t>
  </si>
  <si>
    <t>SI011699</t>
  </si>
  <si>
    <t>CCOA-CONSA--LUCIO-VICTOR</t>
  </si>
  <si>
    <t>C-C--CHUQUIRA</t>
  </si>
  <si>
    <t>LABRA-CHOQUEHUANCA--WILBER</t>
  </si>
  <si>
    <t>CHOQUEPUMA-DE-CCOA--CRISTINA</t>
  </si>
  <si>
    <t>CCOA-CONSA--LUCIANO</t>
  </si>
  <si>
    <t>LABRA-CCOA--VIDAL</t>
  </si>
  <si>
    <t>SI011697</t>
  </si>
  <si>
    <t>ROQUE-LABRA--DAMIAN</t>
  </si>
  <si>
    <t>C-C--PACCOPAMPA</t>
  </si>
  <si>
    <t>LABRA-TACOMA--AUGENIO</t>
  </si>
  <si>
    <t>LABRA-HUAYCHO--DONATO</t>
  </si>
  <si>
    <t>ALVAREZ-RODRIGUEZ--SANTOS</t>
  </si>
  <si>
    <t>SI011696</t>
  </si>
  <si>
    <t>CCAHUANA-PAUCCARA--LUIS</t>
  </si>
  <si>
    <t>C-C--HATU-ANPAMPA</t>
  </si>
  <si>
    <t>SI011686</t>
  </si>
  <si>
    <t>CHOQUEPUMA-CCOA--AQUELINO</t>
  </si>
  <si>
    <t>C-C--URAY-MAYO</t>
  </si>
  <si>
    <t>SI011781</t>
  </si>
  <si>
    <t>CHOQUEHUANCA-CHINO--JESUSA</t>
  </si>
  <si>
    <t>C-C--A-AHUIRE</t>
  </si>
  <si>
    <t>QUISPE-AYMA--JUAN-CANCIO</t>
  </si>
  <si>
    <t>AYMA-CHOQUEHUANCA--REMIGIA</t>
  </si>
  <si>
    <t>QUISPE-CHOQUEHUANCA--MERY-JESU</t>
  </si>
  <si>
    <t>SI011780</t>
  </si>
  <si>
    <t>YUCRA-QUISPE--RINA</t>
  </si>
  <si>
    <t>C-C--CCOCHA-CCOCHA</t>
  </si>
  <si>
    <t>QUISPE-YUCRA--AYDE</t>
  </si>
  <si>
    <t>CHOQUEHUANCA-MAMANI--MAXIMILIA</t>
  </si>
  <si>
    <t>SI011782</t>
  </si>
  <si>
    <t>AYALA-ROQUE--RUFINA</t>
  </si>
  <si>
    <t>C-C--CCALAHUALA</t>
  </si>
  <si>
    <t>SI011783</t>
  </si>
  <si>
    <t>AYALA-CHOQQUEHUANCA--TOMASA</t>
  </si>
  <si>
    <t>C-C--CARPARACHI</t>
  </si>
  <si>
    <t>MAMANI-AYALA--ANICETO</t>
  </si>
  <si>
    <t>SI011858</t>
  </si>
  <si>
    <t>ROQUE-HUILLCA--SAMUEL</t>
  </si>
  <si>
    <t>C-C--PHILLONE-CUNCA</t>
  </si>
  <si>
    <t>SI011814</t>
  </si>
  <si>
    <t>ROQUE-CHINO--AMERICO</t>
  </si>
  <si>
    <t>C-C--SOROMISA-I</t>
  </si>
  <si>
    <t>CHOQUEHUANCA-SUNI--ESTEBAN</t>
  </si>
  <si>
    <t>MAMANI-CHINO--MELINA</t>
  </si>
  <si>
    <t>SI011813</t>
  </si>
  <si>
    <t>HUILLCA-CHINO--GRACIELA</t>
  </si>
  <si>
    <t>CHINO-CCOLQQUE--FLORENCIO-VICE</t>
  </si>
  <si>
    <t>SI011812</t>
  </si>
  <si>
    <t>JORDAN-CHOQUEHUANCA--BALBINA</t>
  </si>
  <si>
    <t>C-C--ALTO-SORIMISA</t>
  </si>
  <si>
    <t>SI011863</t>
  </si>
  <si>
    <t>ROQUE-CHINO--GUADALUPE</t>
  </si>
  <si>
    <t>C-C--PATILLANI-YAURICHACA</t>
  </si>
  <si>
    <t>SI011811</t>
  </si>
  <si>
    <t>CHOQUEPUMA-AYALA--FLAVIO</t>
  </si>
  <si>
    <t>C-C--CHAQUENA-ALTO-SOROMISA</t>
  </si>
  <si>
    <t>SI011707</t>
  </si>
  <si>
    <t>HUILLCA-MAMANI--ELISA</t>
  </si>
  <si>
    <t>C-C--CRUZ-CUNCA</t>
  </si>
  <si>
    <t>YUCRA-QUINO--GABINA</t>
  </si>
  <si>
    <t>HUILLCA-QUISPE--NELLY</t>
  </si>
  <si>
    <t>CHOQUEHUANCA-HUILLCA--TORIBIO</t>
  </si>
  <si>
    <t>C-C--SOROMISA</t>
  </si>
  <si>
    <t>CARMELES-MAMANI--FELICITAS</t>
  </si>
  <si>
    <t>CONDO-CHINO--WILBER</t>
  </si>
  <si>
    <t>SI011815</t>
  </si>
  <si>
    <t>CHINO-ROQUE--WILFREDO</t>
  </si>
  <si>
    <t>C-C--PACHAYMARCA</t>
  </si>
  <si>
    <t>CHOQUEHUANCA-ROQUE--FRANCISCA</t>
  </si>
  <si>
    <t>SI011817</t>
  </si>
  <si>
    <t>MAMANI-TINTA--VICITACION</t>
  </si>
  <si>
    <t>C-C--YARABAMBA-I-</t>
  </si>
  <si>
    <t>HUILLCA-SUNI--VICTORIA</t>
  </si>
  <si>
    <t>HUILLCA-ROQUE--HILDA-MAGDALENA</t>
  </si>
  <si>
    <t>CHINO-CHOQUEHUANCA--EDIBERTO</t>
  </si>
  <si>
    <t>QUISPE-MAMANI--AUDAZ</t>
  </si>
  <si>
    <t>SI011796</t>
  </si>
  <si>
    <t>IGLESIA--COMUNAL--CAPILLANI</t>
  </si>
  <si>
    <t>COMUNIDAD-CAMPESINA-CAPILLANI-</t>
  </si>
  <si>
    <t>TACO-QUISPE--CARMEN</t>
  </si>
  <si>
    <t>QUISPE-HUAMAN--MARIO</t>
  </si>
  <si>
    <t>SULLCA-VILCA--BERNA</t>
  </si>
  <si>
    <t>SI031867</t>
  </si>
  <si>
    <t>CONDORI-LLIMPE--ROCIO</t>
  </si>
  <si>
    <t>COMUNIDAD-CAMPESINA-UYURMIRI-L</t>
  </si>
  <si>
    <t>CAHUANA-ARQUE--MARIO</t>
  </si>
  <si>
    <t>JIHUALLANCA-MENDOZA--ESTEBAN</t>
  </si>
  <si>
    <t>JIHUALLANCA-NINA--LEONARDO</t>
  </si>
  <si>
    <t>SI031797</t>
  </si>
  <si>
    <t>CONDORI-ARQUE--AGUSTINA</t>
  </si>
  <si>
    <t>COMUNIDAD-CAMPESINA-URCA-A-ACH</t>
  </si>
  <si>
    <t>CCALLO-PARIHUAYO--JUAN-CANCIO</t>
  </si>
  <si>
    <t>FLOREZ-DE-VELASQUEZ--TEODORA</t>
  </si>
  <si>
    <t>ARQUE-PUMA--FORTUNATO</t>
  </si>
  <si>
    <t>CALLO-CHIPANA--JUAN--</t>
  </si>
  <si>
    <t>CCARITA-DE-FLORES--CORINA</t>
  </si>
  <si>
    <t>SI031810</t>
  </si>
  <si>
    <t>MAMANI-JACINTO--CIPREAN</t>
  </si>
  <si>
    <t>COMUNIDAD-CAMPESINA-URINSAYA-L</t>
  </si>
  <si>
    <t>SI031801</t>
  </si>
  <si>
    <t>GUILLEN-ARQQUE--ROSA-MARIBEL</t>
  </si>
  <si>
    <t>COMUNIDAD-CAMPESINA-HUANCOIRE-</t>
  </si>
  <si>
    <t>GUILLEN-MAMANI--LUCIANO</t>
  </si>
  <si>
    <t>IGLESIA--COMUNAL--HUANCOTIRE</t>
  </si>
  <si>
    <t>SI031802</t>
  </si>
  <si>
    <t>CARRIZALES-PACSI--JUAN</t>
  </si>
  <si>
    <t>COMUNIDAD-CAMPESINA-URA-HUANCO</t>
  </si>
  <si>
    <t>GUILLEN-ARQQUE--PAUL-EDGAR</t>
  </si>
  <si>
    <t>SI031803</t>
  </si>
  <si>
    <t>MAMANI-MAMANI--JULIO-CESAR</t>
  </si>
  <si>
    <t>COMUNIDAD-CAMPESINA-HANAC-HUAC</t>
  </si>
  <si>
    <t>MAMANI-MAMANI--FELICIANA</t>
  </si>
  <si>
    <t>CCOPA-HUANCO--PABLO</t>
  </si>
  <si>
    <t>MAMANI-CONDORI--JUAN</t>
  </si>
  <si>
    <t>SI031804</t>
  </si>
  <si>
    <t>QUISPE-MAMANI--CESILIO</t>
  </si>
  <si>
    <t>COMUNIDAD-CAMPESINA-KAQCHATA-L</t>
  </si>
  <si>
    <t>QUISPE-MAMANI--EBER</t>
  </si>
  <si>
    <t>MAMANI-TINTA--ALBERTO</t>
  </si>
  <si>
    <t>MAMANI-CRUZ--RAUL</t>
  </si>
  <si>
    <t>MAMANI-CASSA--DEMETRIO</t>
  </si>
  <si>
    <t>MAMANI-TINTA--EMILDA</t>
  </si>
  <si>
    <t>QUISPE-MAMANI--MATILDE</t>
  </si>
  <si>
    <t>CRUZ-QUISPE--DANTE</t>
  </si>
  <si>
    <t>SI031805</t>
  </si>
  <si>
    <t>CRUZ-SONCCO--JOSE-LUIS</t>
  </si>
  <si>
    <t>COMUNIDAD-CAMPESINA-ACCO-ACCO-</t>
  </si>
  <si>
    <t>FLOREZ-MAMANI--FRANCISCA</t>
  </si>
  <si>
    <t>CASSA-CACHURA--EUGENIA</t>
  </si>
  <si>
    <t>JALLO-TORRES--FREDY-ULDARICO</t>
  </si>
  <si>
    <t>FLOREZ-CONDORI--NOEMI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</si>
</sst>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05"/>
  <sheetViews>
    <sheetView tabSelected="1" zoomScalePageLayoutView="0" workbookViewId="0" topLeftCell="A775">
      <selection activeCell="G625" sqref="G625"/>
    </sheetView>
  </sheetViews>
  <sheetFormatPr defaultColWidth="11.421875" defaultRowHeight="15"/>
  <cols>
    <col min="8" max="8" width="35.140625" style="0" customWidth="1"/>
    <col min="9" max="9" width="30.14062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41831</v>
      </c>
      <c r="C2" t="s">
        <v>18</v>
      </c>
      <c r="D2" t="str">
        <f>CONCATENATE("0040022075","")</f>
        <v>0040022075</v>
      </c>
      <c r="E2" t="str">
        <f>CONCATENATE("0050302000020       ","")</f>
        <v>0050302000020       </v>
      </c>
      <c r="F2" t="str">
        <f>CONCATENATE("20100144216","")</f>
        <v>20100144216</v>
      </c>
      <c r="G2" t="s">
        <v>19</v>
      </c>
      <c r="H2" t="s">
        <v>20</v>
      </c>
      <c r="I2" t="s">
        <v>21</v>
      </c>
      <c r="J2" t="str">
        <f aca="true" t="shared" si="0" ref="J2:J9">CONCATENATE("080503","")</f>
        <v>080503</v>
      </c>
      <c r="K2" t="s">
        <v>22</v>
      </c>
      <c r="L2" t="s">
        <v>23</v>
      </c>
      <c r="M2" t="str">
        <f aca="true" t="shared" si="1" ref="M2:M32">CONCATENATE("1","")</f>
        <v>1</v>
      </c>
      <c r="O2" t="str">
        <f>CONCATENATE("1 ","")</f>
        <v>1 </v>
      </c>
      <c r="P2">
        <v>14.05</v>
      </c>
      <c r="Q2" t="s">
        <v>24</v>
      </c>
    </row>
    <row r="3" spans="1:17" ht="15">
      <c r="A3" t="s">
        <v>17</v>
      </c>
      <c r="B3" s="1">
        <v>41831</v>
      </c>
      <c r="C3" t="s">
        <v>18</v>
      </c>
      <c r="D3" t="str">
        <f>CONCATENATE("0040022153","")</f>
        <v>0040022153</v>
      </c>
      <c r="E3" t="str">
        <f>CONCATENATE("0050307000030       ","")</f>
        <v>0050307000030       </v>
      </c>
      <c r="F3" t="str">
        <f>CONCATENATE("20100143001","")</f>
        <v>20100143001</v>
      </c>
      <c r="G3" t="s">
        <v>25</v>
      </c>
      <c r="H3" t="s">
        <v>26</v>
      </c>
      <c r="I3" t="s">
        <v>27</v>
      </c>
      <c r="J3" t="str">
        <f t="shared" si="0"/>
        <v>080503</v>
      </c>
      <c r="K3" t="s">
        <v>22</v>
      </c>
      <c r="L3" t="s">
        <v>23</v>
      </c>
      <c r="M3" t="str">
        <f t="shared" si="1"/>
        <v>1</v>
      </c>
      <c r="O3" t="str">
        <f>CONCATENATE("1 ","")</f>
        <v>1 </v>
      </c>
      <c r="P3">
        <v>22.8</v>
      </c>
      <c r="Q3" t="s">
        <v>24</v>
      </c>
    </row>
    <row r="4" spans="1:17" ht="15">
      <c r="A4" t="s">
        <v>17</v>
      </c>
      <c r="B4" s="1">
        <v>41831</v>
      </c>
      <c r="C4" t="s">
        <v>18</v>
      </c>
      <c r="D4" t="str">
        <f>CONCATENATE("0040022545","")</f>
        <v>0040022545</v>
      </c>
      <c r="E4" t="str">
        <f>CONCATENATE("0050318010030       ","")</f>
        <v>0050318010030       </v>
      </c>
      <c r="F4" t="str">
        <f>CONCATENATE("20100143517","")</f>
        <v>20100143517</v>
      </c>
      <c r="G4" t="s">
        <v>28</v>
      </c>
      <c r="H4" t="s">
        <v>29</v>
      </c>
      <c r="I4" t="s">
        <v>30</v>
      </c>
      <c r="J4" t="str">
        <f t="shared" si="0"/>
        <v>080503</v>
      </c>
      <c r="K4" t="s">
        <v>22</v>
      </c>
      <c r="L4" t="s">
        <v>23</v>
      </c>
      <c r="M4" t="str">
        <f t="shared" si="1"/>
        <v>1</v>
      </c>
      <c r="O4" t="str">
        <f>CONCATENATE("3 ","")</f>
        <v>3 </v>
      </c>
      <c r="P4">
        <v>26.5</v>
      </c>
      <c r="Q4" t="s">
        <v>24</v>
      </c>
    </row>
    <row r="5" spans="1:17" ht="15">
      <c r="A5" t="s">
        <v>17</v>
      </c>
      <c r="B5" s="1">
        <v>41831</v>
      </c>
      <c r="C5" t="s">
        <v>18</v>
      </c>
      <c r="D5" t="str">
        <f>CONCATENATE("0040022589","")</f>
        <v>0040022589</v>
      </c>
      <c r="E5" t="str">
        <f>CONCATENATE("0050325000110       ","")</f>
        <v>0050325000110       </v>
      </c>
      <c r="F5" t="str">
        <f>CONCATENATE("20100143604","")</f>
        <v>20100143604</v>
      </c>
      <c r="G5" t="s">
        <v>31</v>
      </c>
      <c r="H5" t="s">
        <v>32</v>
      </c>
      <c r="I5" t="s">
        <v>33</v>
      </c>
      <c r="J5" t="str">
        <f t="shared" si="0"/>
        <v>080503</v>
      </c>
      <c r="K5" t="s">
        <v>22</v>
      </c>
      <c r="L5" t="s">
        <v>23</v>
      </c>
      <c r="M5" t="str">
        <f t="shared" si="1"/>
        <v>1</v>
      </c>
      <c r="O5" t="str">
        <f>CONCATENATE("1 ","")</f>
        <v>1 </v>
      </c>
      <c r="P5">
        <v>19.95</v>
      </c>
      <c r="Q5" t="s">
        <v>24</v>
      </c>
    </row>
    <row r="6" spans="1:17" ht="15">
      <c r="A6" t="s">
        <v>17</v>
      </c>
      <c r="B6" s="1">
        <v>41831</v>
      </c>
      <c r="C6" t="s">
        <v>18</v>
      </c>
      <c r="D6" t="str">
        <f>CONCATENATE("0040022663","")</f>
        <v>0040022663</v>
      </c>
      <c r="E6" t="str">
        <f>CONCATENATE("0050336000040       ","")</f>
        <v>0050336000040       </v>
      </c>
      <c r="F6" t="str">
        <f>CONCATENATE("20100142635","")</f>
        <v>20100142635</v>
      </c>
      <c r="G6" t="s">
        <v>34</v>
      </c>
      <c r="H6" t="s">
        <v>35</v>
      </c>
      <c r="I6" t="s">
        <v>36</v>
      </c>
      <c r="J6" t="str">
        <f t="shared" si="0"/>
        <v>080503</v>
      </c>
      <c r="K6" t="s">
        <v>22</v>
      </c>
      <c r="L6" t="s">
        <v>23</v>
      </c>
      <c r="M6" t="str">
        <f t="shared" si="1"/>
        <v>1</v>
      </c>
      <c r="O6" t="str">
        <f>CONCATENATE("1 ","")</f>
        <v>1 </v>
      </c>
      <c r="P6">
        <v>10.65</v>
      </c>
      <c r="Q6" t="s">
        <v>24</v>
      </c>
    </row>
    <row r="7" spans="1:17" ht="15">
      <c r="A7" t="s">
        <v>17</v>
      </c>
      <c r="B7" s="1">
        <v>41831</v>
      </c>
      <c r="C7" t="s">
        <v>18</v>
      </c>
      <c r="D7" t="str">
        <f>CONCATENATE("0040022664","")</f>
        <v>0040022664</v>
      </c>
      <c r="E7" t="str">
        <f>CONCATENATE("0050336010040       ","")</f>
        <v>0050336010040       </v>
      </c>
      <c r="F7" t="str">
        <f>CONCATENATE("20100143654","")</f>
        <v>20100143654</v>
      </c>
      <c r="G7" t="s">
        <v>34</v>
      </c>
      <c r="H7" t="s">
        <v>35</v>
      </c>
      <c r="I7" t="s">
        <v>36</v>
      </c>
      <c r="J7" t="str">
        <f t="shared" si="0"/>
        <v>080503</v>
      </c>
      <c r="K7" t="s">
        <v>22</v>
      </c>
      <c r="L7" t="s">
        <v>23</v>
      </c>
      <c r="M7" t="str">
        <f t="shared" si="1"/>
        <v>1</v>
      </c>
      <c r="O7" t="str">
        <f>CONCATENATE("1 ","")</f>
        <v>1 </v>
      </c>
      <c r="P7">
        <v>11.45</v>
      </c>
      <c r="Q7" t="s">
        <v>24</v>
      </c>
    </row>
    <row r="8" spans="1:17" ht="15">
      <c r="A8" t="s">
        <v>17</v>
      </c>
      <c r="B8" s="1">
        <v>41831</v>
      </c>
      <c r="C8" t="s">
        <v>18</v>
      </c>
      <c r="D8" t="str">
        <f>CONCATENATE("0040022741","")</f>
        <v>0040022741</v>
      </c>
      <c r="E8" t="str">
        <f>CONCATENATE("0050340000110       ","")</f>
        <v>0050340000110       </v>
      </c>
      <c r="F8" t="str">
        <f>CONCATENATE("20100143666","")</f>
        <v>20100143666</v>
      </c>
      <c r="G8" t="s">
        <v>37</v>
      </c>
      <c r="H8" t="s">
        <v>38</v>
      </c>
      <c r="I8" t="s">
        <v>39</v>
      </c>
      <c r="J8" t="str">
        <f t="shared" si="0"/>
        <v>080503</v>
      </c>
      <c r="K8" t="s">
        <v>22</v>
      </c>
      <c r="L8" t="s">
        <v>23</v>
      </c>
      <c r="M8" t="str">
        <f t="shared" si="1"/>
        <v>1</v>
      </c>
      <c r="O8" t="str">
        <f>CONCATENATE("1 ","")</f>
        <v>1 </v>
      </c>
      <c r="P8">
        <v>14.15</v>
      </c>
      <c r="Q8" t="s">
        <v>24</v>
      </c>
    </row>
    <row r="9" spans="1:17" ht="15">
      <c r="A9" t="s">
        <v>17</v>
      </c>
      <c r="B9" s="1">
        <v>41831</v>
      </c>
      <c r="C9" t="s">
        <v>18</v>
      </c>
      <c r="D9" t="str">
        <f>CONCATENATE("0040022384","")</f>
        <v>0040022384</v>
      </c>
      <c r="E9" t="str">
        <f>CONCATENATE("0050348000040       ","")</f>
        <v>0050348000040       </v>
      </c>
      <c r="F9" t="str">
        <f>CONCATENATE("20100144589","")</f>
        <v>20100144589</v>
      </c>
      <c r="G9" t="s">
        <v>40</v>
      </c>
      <c r="H9" t="s">
        <v>41</v>
      </c>
      <c r="I9" t="s">
        <v>42</v>
      </c>
      <c r="J9" t="str">
        <f t="shared" si="0"/>
        <v>080503</v>
      </c>
      <c r="K9" t="s">
        <v>22</v>
      </c>
      <c r="L9" t="s">
        <v>23</v>
      </c>
      <c r="M9" t="str">
        <f t="shared" si="1"/>
        <v>1</v>
      </c>
      <c r="O9" t="str">
        <f>CONCATENATE("1 ","")</f>
        <v>1 </v>
      </c>
      <c r="P9">
        <v>13.35</v>
      </c>
      <c r="Q9" t="s">
        <v>24</v>
      </c>
    </row>
    <row r="10" spans="1:17" ht="15">
      <c r="A10" t="s">
        <v>17</v>
      </c>
      <c r="B10" s="1">
        <v>41831</v>
      </c>
      <c r="C10" t="s">
        <v>43</v>
      </c>
      <c r="D10" t="str">
        <f>CONCATENATE("0040022453","")</f>
        <v>0040022453</v>
      </c>
      <c r="E10" t="str">
        <f>CONCATENATE("0050375020095       ","")</f>
        <v>0050375020095       </v>
      </c>
      <c r="F10" t="str">
        <f>CONCATENATE("20100143399","")</f>
        <v>20100143399</v>
      </c>
      <c r="G10" t="s">
        <v>44</v>
      </c>
      <c r="H10" t="s">
        <v>45</v>
      </c>
      <c r="I10" t="s">
        <v>46</v>
      </c>
      <c r="J10" t="str">
        <f>CONCATENATE("080502","")</f>
        <v>080502</v>
      </c>
      <c r="K10" t="s">
        <v>22</v>
      </c>
      <c r="L10" t="s">
        <v>23</v>
      </c>
      <c r="M10" t="str">
        <f t="shared" si="1"/>
        <v>1</v>
      </c>
      <c r="O10" t="str">
        <f>CONCATENATE("2 ","")</f>
        <v>2 </v>
      </c>
      <c r="P10">
        <v>17.95</v>
      </c>
      <c r="Q10" t="s">
        <v>24</v>
      </c>
    </row>
    <row r="11" spans="1:17" ht="15">
      <c r="A11" t="s">
        <v>17</v>
      </c>
      <c r="B11" s="1">
        <v>41831</v>
      </c>
      <c r="C11" t="s">
        <v>18</v>
      </c>
      <c r="D11" t="str">
        <f>CONCATENATE("0040027085","")</f>
        <v>0040027085</v>
      </c>
      <c r="E11" t="str">
        <f>CONCATENATE("0050395010077       ","")</f>
        <v>0050395010077       </v>
      </c>
      <c r="F11" t="str">
        <f>CONCATENATE("20100143568","")</f>
        <v>20100143568</v>
      </c>
      <c r="G11" t="s">
        <v>47</v>
      </c>
      <c r="H11" t="s">
        <v>48</v>
      </c>
      <c r="I11" t="s">
        <v>49</v>
      </c>
      <c r="J11" t="str">
        <f>CONCATENATE("080503","")</f>
        <v>080503</v>
      </c>
      <c r="K11" t="s">
        <v>22</v>
      </c>
      <c r="L11" t="s">
        <v>23</v>
      </c>
      <c r="M11" t="str">
        <f t="shared" si="1"/>
        <v>1</v>
      </c>
      <c r="O11" t="str">
        <f>CONCATENATE("2 ","")</f>
        <v>2 </v>
      </c>
      <c r="P11">
        <v>19.05</v>
      </c>
      <c r="Q11" t="s">
        <v>24</v>
      </c>
    </row>
    <row r="12" spans="1:17" ht="15">
      <c r="A12" t="s">
        <v>17</v>
      </c>
      <c r="B12" s="1">
        <v>41831</v>
      </c>
      <c r="C12" t="s">
        <v>50</v>
      </c>
      <c r="D12" t="str">
        <f>CONCATENATE("0040018887","")</f>
        <v>0040018887</v>
      </c>
      <c r="E12" t="str">
        <f>CONCATENATE("0050404000050       ","")</f>
        <v>0050404000050       </v>
      </c>
      <c r="F12" t="str">
        <f>CONCATENATE("605221622","")</f>
        <v>605221622</v>
      </c>
      <c r="G12" t="s">
        <v>51</v>
      </c>
      <c r="H12" t="s">
        <v>52</v>
      </c>
      <c r="I12" t="s">
        <v>53</v>
      </c>
      <c r="J12" t="str">
        <f aca="true" t="shared" si="2" ref="J12:J27">CONCATENATE("080504","")</f>
        <v>080504</v>
      </c>
      <c r="K12" t="s">
        <v>22</v>
      </c>
      <c r="L12" t="s">
        <v>23</v>
      </c>
      <c r="M12" t="str">
        <f t="shared" si="1"/>
        <v>1</v>
      </c>
      <c r="O12" t="str">
        <f>CONCATENATE("1 ","")</f>
        <v>1 </v>
      </c>
      <c r="P12">
        <v>24.5</v>
      </c>
      <c r="Q12" t="s">
        <v>24</v>
      </c>
    </row>
    <row r="13" spans="1:17" ht="15">
      <c r="A13" t="s">
        <v>17</v>
      </c>
      <c r="B13" s="1">
        <v>41831</v>
      </c>
      <c r="C13" t="s">
        <v>50</v>
      </c>
      <c r="D13" t="str">
        <f>CONCATENATE("0040014637","")</f>
        <v>0040014637</v>
      </c>
      <c r="E13" t="str">
        <f>CONCATENATE("0050406000160       ","")</f>
        <v>0050406000160       </v>
      </c>
      <c r="F13" t="str">
        <f>CONCATENATE("01981159","")</f>
        <v>01981159</v>
      </c>
      <c r="G13" t="s">
        <v>54</v>
      </c>
      <c r="H13" t="s">
        <v>55</v>
      </c>
      <c r="I13" t="s">
        <v>56</v>
      </c>
      <c r="J13" t="str">
        <f t="shared" si="2"/>
        <v>080504</v>
      </c>
      <c r="K13" t="s">
        <v>22</v>
      </c>
      <c r="L13" t="s">
        <v>23</v>
      </c>
      <c r="M13" t="str">
        <f t="shared" si="1"/>
        <v>1</v>
      </c>
      <c r="O13" t="str">
        <f>CONCATENATE("1 ","")</f>
        <v>1 </v>
      </c>
      <c r="P13">
        <v>28.6</v>
      </c>
      <c r="Q13" t="s">
        <v>24</v>
      </c>
    </row>
    <row r="14" spans="1:17" ht="15">
      <c r="A14" t="s">
        <v>17</v>
      </c>
      <c r="B14" s="1">
        <v>41831</v>
      </c>
      <c r="C14" t="s">
        <v>50</v>
      </c>
      <c r="D14" t="str">
        <f>CONCATENATE("0040014762","")</f>
        <v>0040014762</v>
      </c>
      <c r="E14" t="str">
        <f>CONCATENATE("0050407000140       ","")</f>
        <v>0050407000140       </v>
      </c>
      <c r="F14" t="str">
        <f>CONCATENATE("01980778","")</f>
        <v>01980778</v>
      </c>
      <c r="G14" t="s">
        <v>57</v>
      </c>
      <c r="H14" t="s">
        <v>58</v>
      </c>
      <c r="I14" t="s">
        <v>59</v>
      </c>
      <c r="J14" t="str">
        <f t="shared" si="2"/>
        <v>080504</v>
      </c>
      <c r="K14" t="s">
        <v>22</v>
      </c>
      <c r="L14" t="s">
        <v>23</v>
      </c>
      <c r="M14" t="str">
        <f t="shared" si="1"/>
        <v>1</v>
      </c>
      <c r="O14" t="str">
        <f>CONCATENATE("2 ","")</f>
        <v>2 </v>
      </c>
      <c r="P14">
        <v>19.8</v>
      </c>
      <c r="Q14" t="s">
        <v>24</v>
      </c>
    </row>
    <row r="15" spans="1:17" ht="15">
      <c r="A15" t="s">
        <v>17</v>
      </c>
      <c r="B15" s="1">
        <v>41831</v>
      </c>
      <c r="C15" t="s">
        <v>50</v>
      </c>
      <c r="D15" t="str">
        <f>CONCATENATE("0040014763","")</f>
        <v>0040014763</v>
      </c>
      <c r="E15" t="str">
        <f>CONCATENATE("0050407000160       ","")</f>
        <v>0050407000160       </v>
      </c>
      <c r="F15" t="str">
        <f>CONCATENATE("605625222","")</f>
        <v>605625222</v>
      </c>
      <c r="G15" t="s">
        <v>57</v>
      </c>
      <c r="H15" t="s">
        <v>60</v>
      </c>
      <c r="I15" t="s">
        <v>59</v>
      </c>
      <c r="J15" t="str">
        <f t="shared" si="2"/>
        <v>080504</v>
      </c>
      <c r="K15" t="s">
        <v>22</v>
      </c>
      <c r="L15" t="s">
        <v>23</v>
      </c>
      <c r="M15" t="str">
        <f t="shared" si="1"/>
        <v>1</v>
      </c>
      <c r="O15" t="str">
        <f>CONCATENATE("2 ","")</f>
        <v>2 </v>
      </c>
      <c r="P15">
        <v>39.45</v>
      </c>
      <c r="Q15" t="s">
        <v>24</v>
      </c>
    </row>
    <row r="16" spans="1:17" ht="15">
      <c r="A16" t="s">
        <v>17</v>
      </c>
      <c r="B16" s="1">
        <v>41831</v>
      </c>
      <c r="C16" t="s">
        <v>50</v>
      </c>
      <c r="D16" t="str">
        <f>CONCATENATE("0040021659","")</f>
        <v>0040021659</v>
      </c>
      <c r="E16" t="str">
        <f>CONCATENATE("0050410002560       ","")</f>
        <v>0050410002560       </v>
      </c>
      <c r="F16" t="str">
        <f>CONCATENATE("0606033476","")</f>
        <v>0606033476</v>
      </c>
      <c r="G16" t="s">
        <v>57</v>
      </c>
      <c r="H16" t="s">
        <v>61</v>
      </c>
      <c r="I16" t="s">
        <v>62</v>
      </c>
      <c r="J16" t="str">
        <f t="shared" si="2"/>
        <v>080504</v>
      </c>
      <c r="K16" t="s">
        <v>22</v>
      </c>
      <c r="L16" t="s">
        <v>23</v>
      </c>
      <c r="M16" t="str">
        <f t="shared" si="1"/>
        <v>1</v>
      </c>
      <c r="O16" t="str">
        <f>CONCATENATE("2 ","")</f>
        <v>2 </v>
      </c>
      <c r="P16">
        <v>15.95</v>
      </c>
      <c r="Q16" t="s">
        <v>24</v>
      </c>
    </row>
    <row r="17" spans="1:17" ht="15">
      <c r="A17" t="s">
        <v>17</v>
      </c>
      <c r="B17" s="1">
        <v>41831</v>
      </c>
      <c r="C17" t="s">
        <v>50</v>
      </c>
      <c r="D17" t="str">
        <f>CONCATENATE("0040018346","")</f>
        <v>0040018346</v>
      </c>
      <c r="E17" t="str">
        <f>CONCATENATE("0050412000140       ","")</f>
        <v>0050412000140       </v>
      </c>
      <c r="F17" t="str">
        <f>CONCATENATE("605289025","")</f>
        <v>605289025</v>
      </c>
      <c r="G17" t="s">
        <v>63</v>
      </c>
      <c r="H17" t="s">
        <v>64</v>
      </c>
      <c r="I17" t="s">
        <v>65</v>
      </c>
      <c r="J17" t="str">
        <f t="shared" si="2"/>
        <v>080504</v>
      </c>
      <c r="K17" t="s">
        <v>22</v>
      </c>
      <c r="L17" t="s">
        <v>23</v>
      </c>
      <c r="M17" t="str">
        <f t="shared" si="1"/>
        <v>1</v>
      </c>
      <c r="O17" t="str">
        <f aca="true" t="shared" si="3" ref="O17:O32">CONCATENATE("1 ","")</f>
        <v>1 </v>
      </c>
      <c r="P17">
        <v>14.55</v>
      </c>
      <c r="Q17" t="s">
        <v>24</v>
      </c>
    </row>
    <row r="18" spans="1:17" ht="15">
      <c r="A18" t="s">
        <v>17</v>
      </c>
      <c r="B18" s="1">
        <v>41831</v>
      </c>
      <c r="C18" t="s">
        <v>50</v>
      </c>
      <c r="D18" t="str">
        <f>CONCATENATE("0040021502","")</f>
        <v>0040021502</v>
      </c>
      <c r="E18" t="str">
        <f>CONCATENATE("0050413001230       ","")</f>
        <v>0050413001230       </v>
      </c>
      <c r="F18" t="str">
        <f>CONCATENATE("606033893","")</f>
        <v>606033893</v>
      </c>
      <c r="G18" t="s">
        <v>66</v>
      </c>
      <c r="H18" t="s">
        <v>64</v>
      </c>
      <c r="I18" t="s">
        <v>67</v>
      </c>
      <c r="J18" t="str">
        <f t="shared" si="2"/>
        <v>080504</v>
      </c>
      <c r="K18" t="s">
        <v>22</v>
      </c>
      <c r="L18" t="s">
        <v>23</v>
      </c>
      <c r="M18" t="str">
        <f t="shared" si="1"/>
        <v>1</v>
      </c>
      <c r="O18" t="str">
        <f t="shared" si="3"/>
        <v>1 </v>
      </c>
      <c r="P18">
        <v>10.65</v>
      </c>
      <c r="Q18" t="s">
        <v>24</v>
      </c>
    </row>
    <row r="19" spans="1:17" ht="15">
      <c r="A19" t="s">
        <v>17</v>
      </c>
      <c r="B19" s="1">
        <v>41831</v>
      </c>
      <c r="C19" t="s">
        <v>50</v>
      </c>
      <c r="D19" t="str">
        <f>CONCATENATE("0040014815","")</f>
        <v>0040014815</v>
      </c>
      <c r="E19" t="str">
        <f>CONCATENATE("0050420000240       ","")</f>
        <v>0050420000240       </v>
      </c>
      <c r="F19" t="str">
        <f>CONCATENATE("01982361","")</f>
        <v>01982361</v>
      </c>
      <c r="G19" t="s">
        <v>68</v>
      </c>
      <c r="H19" t="s">
        <v>69</v>
      </c>
      <c r="I19" t="s">
        <v>70</v>
      </c>
      <c r="J19" t="str">
        <f t="shared" si="2"/>
        <v>080504</v>
      </c>
      <c r="K19" t="s">
        <v>22</v>
      </c>
      <c r="L19" t="s">
        <v>23</v>
      </c>
      <c r="M19" t="str">
        <f t="shared" si="1"/>
        <v>1</v>
      </c>
      <c r="O19" t="str">
        <f t="shared" si="3"/>
        <v>1 </v>
      </c>
      <c r="P19">
        <v>18.6</v>
      </c>
      <c r="Q19" t="s">
        <v>24</v>
      </c>
    </row>
    <row r="20" spans="1:17" ht="15">
      <c r="A20" t="s">
        <v>17</v>
      </c>
      <c r="B20" s="1">
        <v>41831</v>
      </c>
      <c r="C20" t="s">
        <v>50</v>
      </c>
      <c r="D20" t="str">
        <f>CONCATENATE("0040014612","")</f>
        <v>0040014612</v>
      </c>
      <c r="E20" t="str">
        <f>CONCATENATE("0050423000185       ","")</f>
        <v>0050423000185       </v>
      </c>
      <c r="F20" t="str">
        <f>CONCATENATE("605746181","")</f>
        <v>605746181</v>
      </c>
      <c r="G20" t="s">
        <v>71</v>
      </c>
      <c r="H20" t="s">
        <v>72</v>
      </c>
      <c r="I20" t="s">
        <v>73</v>
      </c>
      <c r="J20" t="str">
        <f t="shared" si="2"/>
        <v>080504</v>
      </c>
      <c r="K20" t="s">
        <v>22</v>
      </c>
      <c r="L20" t="s">
        <v>23</v>
      </c>
      <c r="M20" t="str">
        <f t="shared" si="1"/>
        <v>1</v>
      </c>
      <c r="O20" t="str">
        <f t="shared" si="3"/>
        <v>1 </v>
      </c>
      <c r="P20">
        <v>27.2</v>
      </c>
      <c r="Q20" t="s">
        <v>24</v>
      </c>
    </row>
    <row r="21" spans="1:17" ht="15">
      <c r="A21" t="s">
        <v>17</v>
      </c>
      <c r="B21" s="1">
        <v>41831</v>
      </c>
      <c r="C21" t="s">
        <v>50</v>
      </c>
      <c r="D21" t="str">
        <f>CONCATENATE("0040014615","")</f>
        <v>0040014615</v>
      </c>
      <c r="E21" t="str">
        <f>CONCATENATE("0050423000212       ","")</f>
        <v>0050423000212       </v>
      </c>
      <c r="F21" t="str">
        <f>CONCATENATE("605629366","")</f>
        <v>605629366</v>
      </c>
      <c r="G21" t="s">
        <v>71</v>
      </c>
      <c r="H21" t="s">
        <v>74</v>
      </c>
      <c r="I21" t="s">
        <v>73</v>
      </c>
      <c r="J21" t="str">
        <f t="shared" si="2"/>
        <v>080504</v>
      </c>
      <c r="K21" t="s">
        <v>22</v>
      </c>
      <c r="L21" t="s">
        <v>23</v>
      </c>
      <c r="M21" t="str">
        <f t="shared" si="1"/>
        <v>1</v>
      </c>
      <c r="O21" t="str">
        <f t="shared" si="3"/>
        <v>1 </v>
      </c>
      <c r="P21">
        <v>14.25</v>
      </c>
      <c r="Q21" t="s">
        <v>24</v>
      </c>
    </row>
    <row r="22" spans="1:17" ht="15">
      <c r="A22" t="s">
        <v>17</v>
      </c>
      <c r="B22" s="1">
        <v>41831</v>
      </c>
      <c r="C22" t="s">
        <v>50</v>
      </c>
      <c r="D22" t="str">
        <f>CONCATENATE("0040021529","")</f>
        <v>0040021529</v>
      </c>
      <c r="E22" t="str">
        <f>CONCATENATE("0050423001087       ","")</f>
        <v>0050423001087       </v>
      </c>
      <c r="F22" t="str">
        <f>CONCATENATE("606086801","")</f>
        <v>606086801</v>
      </c>
      <c r="G22" t="s">
        <v>71</v>
      </c>
      <c r="H22" t="s">
        <v>75</v>
      </c>
      <c r="I22" t="s">
        <v>76</v>
      </c>
      <c r="J22" t="str">
        <f t="shared" si="2"/>
        <v>080504</v>
      </c>
      <c r="K22" t="s">
        <v>22</v>
      </c>
      <c r="L22" t="s">
        <v>23</v>
      </c>
      <c r="M22" t="str">
        <f t="shared" si="1"/>
        <v>1</v>
      </c>
      <c r="O22" t="str">
        <f t="shared" si="3"/>
        <v>1 </v>
      </c>
      <c r="P22">
        <v>16.95</v>
      </c>
      <c r="Q22" t="s">
        <v>24</v>
      </c>
    </row>
    <row r="23" spans="1:17" ht="15">
      <c r="A23" t="s">
        <v>17</v>
      </c>
      <c r="B23" s="1">
        <v>41831</v>
      </c>
      <c r="C23" t="s">
        <v>50</v>
      </c>
      <c r="D23" t="str">
        <f>CONCATENATE("0040033781","")</f>
        <v>0040033781</v>
      </c>
      <c r="E23" t="str">
        <f>CONCATENATE("0050424000141       ","")</f>
        <v>0050424000141       </v>
      </c>
      <c r="F23" t="str">
        <f>CONCATENATE("0605623961","")</f>
        <v>0605623961</v>
      </c>
      <c r="G23" t="s">
        <v>77</v>
      </c>
      <c r="H23" t="s">
        <v>78</v>
      </c>
      <c r="I23" t="s">
        <v>79</v>
      </c>
      <c r="J23" t="str">
        <f t="shared" si="2"/>
        <v>080504</v>
      </c>
      <c r="K23" t="s">
        <v>22</v>
      </c>
      <c r="L23" t="s">
        <v>23</v>
      </c>
      <c r="M23" t="str">
        <f t="shared" si="1"/>
        <v>1</v>
      </c>
      <c r="O23" t="str">
        <f t="shared" si="3"/>
        <v>1 </v>
      </c>
      <c r="P23">
        <v>12.4</v>
      </c>
      <c r="Q23" t="s">
        <v>24</v>
      </c>
    </row>
    <row r="24" spans="1:17" ht="15">
      <c r="A24" t="s">
        <v>17</v>
      </c>
      <c r="B24" s="1">
        <v>41831</v>
      </c>
      <c r="C24" t="s">
        <v>50</v>
      </c>
      <c r="D24" t="str">
        <f>CONCATENATE("0040031231","")</f>
        <v>0040031231</v>
      </c>
      <c r="E24" t="str">
        <f>CONCATENATE("0050425000185       ","")</f>
        <v>0050425000185       </v>
      </c>
      <c r="F24" t="str">
        <f>CONCATENATE("606603191","")</f>
        <v>606603191</v>
      </c>
      <c r="G24" t="s">
        <v>80</v>
      </c>
      <c r="H24" t="s">
        <v>81</v>
      </c>
      <c r="I24" t="s">
        <v>82</v>
      </c>
      <c r="J24" t="str">
        <f t="shared" si="2"/>
        <v>080504</v>
      </c>
      <c r="K24" t="s">
        <v>22</v>
      </c>
      <c r="L24" t="s">
        <v>23</v>
      </c>
      <c r="M24" t="str">
        <f t="shared" si="1"/>
        <v>1</v>
      </c>
      <c r="O24" t="str">
        <f t="shared" si="3"/>
        <v>1 </v>
      </c>
      <c r="P24">
        <v>58.25</v>
      </c>
      <c r="Q24" t="s">
        <v>24</v>
      </c>
    </row>
    <row r="25" spans="1:17" ht="15">
      <c r="A25" t="s">
        <v>17</v>
      </c>
      <c r="B25" s="1">
        <v>41831</v>
      </c>
      <c r="C25" t="s">
        <v>50</v>
      </c>
      <c r="D25" t="str">
        <f>CONCATENATE("0040018815","")</f>
        <v>0040018815</v>
      </c>
      <c r="E25" t="str">
        <f>CONCATENATE("0050433000030       ","")</f>
        <v>0050433000030       </v>
      </c>
      <c r="F25" t="str">
        <f>CONCATENATE("605220873","")</f>
        <v>605220873</v>
      </c>
      <c r="G25" t="s">
        <v>83</v>
      </c>
      <c r="H25" t="s">
        <v>84</v>
      </c>
      <c r="I25" t="s">
        <v>85</v>
      </c>
      <c r="J25" t="str">
        <f t="shared" si="2"/>
        <v>080504</v>
      </c>
      <c r="K25" t="s">
        <v>22</v>
      </c>
      <c r="L25" t="s">
        <v>23</v>
      </c>
      <c r="M25" t="str">
        <f t="shared" si="1"/>
        <v>1</v>
      </c>
      <c r="O25" t="str">
        <f t="shared" si="3"/>
        <v>1 </v>
      </c>
      <c r="P25">
        <v>13.15</v>
      </c>
      <c r="Q25" t="s">
        <v>24</v>
      </c>
    </row>
    <row r="26" spans="1:17" ht="15">
      <c r="A26" t="s">
        <v>17</v>
      </c>
      <c r="B26" s="1">
        <v>41831</v>
      </c>
      <c r="C26" t="s">
        <v>50</v>
      </c>
      <c r="D26" t="str">
        <f>CONCATENATE("0040026922","")</f>
        <v>0040026922</v>
      </c>
      <c r="E26" t="str">
        <f>CONCATENATE("0050437000085       ","")</f>
        <v>0050437000085       </v>
      </c>
      <c r="F26" t="str">
        <f>CONCATENATE("605220851","")</f>
        <v>605220851</v>
      </c>
      <c r="G26" t="s">
        <v>86</v>
      </c>
      <c r="H26" t="s">
        <v>87</v>
      </c>
      <c r="I26" t="s">
        <v>88</v>
      </c>
      <c r="J26" t="str">
        <f t="shared" si="2"/>
        <v>080504</v>
      </c>
      <c r="K26" t="s">
        <v>22</v>
      </c>
      <c r="L26" t="s">
        <v>23</v>
      </c>
      <c r="M26" t="str">
        <f t="shared" si="1"/>
        <v>1</v>
      </c>
      <c r="O26" t="str">
        <f t="shared" si="3"/>
        <v>1 </v>
      </c>
      <c r="P26">
        <v>11.7</v>
      </c>
      <c r="Q26" t="s">
        <v>24</v>
      </c>
    </row>
    <row r="27" spans="1:17" ht="15">
      <c r="A27" t="s">
        <v>17</v>
      </c>
      <c r="B27" s="1">
        <v>41831</v>
      </c>
      <c r="C27" t="s">
        <v>50</v>
      </c>
      <c r="D27" t="str">
        <f>CONCATENATE("0040020868","")</f>
        <v>0040020868</v>
      </c>
      <c r="E27" t="str">
        <f>CONCATENATE("0050447001040       ","")</f>
        <v>0050447001040       </v>
      </c>
      <c r="F27" t="str">
        <f>CONCATENATE("606035165","")</f>
        <v>606035165</v>
      </c>
      <c r="G27" t="s">
        <v>89</v>
      </c>
      <c r="H27" t="s">
        <v>90</v>
      </c>
      <c r="I27" t="s">
        <v>91</v>
      </c>
      <c r="J27" t="str">
        <f t="shared" si="2"/>
        <v>080504</v>
      </c>
      <c r="K27" t="s">
        <v>22</v>
      </c>
      <c r="L27" t="s">
        <v>23</v>
      </c>
      <c r="M27" t="str">
        <f t="shared" si="1"/>
        <v>1</v>
      </c>
      <c r="O27" t="str">
        <f t="shared" si="3"/>
        <v>1 </v>
      </c>
      <c r="P27">
        <v>33.3</v>
      </c>
      <c r="Q27" t="s">
        <v>24</v>
      </c>
    </row>
    <row r="28" spans="1:17" ht="15">
      <c r="A28" t="s">
        <v>17</v>
      </c>
      <c r="B28" s="1">
        <v>41831</v>
      </c>
      <c r="C28" t="s">
        <v>92</v>
      </c>
      <c r="D28" t="str">
        <f>CONCATENATE("0040030667","")</f>
        <v>0040030667</v>
      </c>
      <c r="E28" t="str">
        <f>CONCATENATE("0050501001447       ","")</f>
        <v>0050501001447       </v>
      </c>
      <c r="F28" t="str">
        <f>CONCATENATE("2182627","")</f>
        <v>2182627</v>
      </c>
      <c r="G28" t="s">
        <v>93</v>
      </c>
      <c r="H28" t="s">
        <v>94</v>
      </c>
      <c r="I28" t="s">
        <v>95</v>
      </c>
      <c r="J28" t="str">
        <f aca="true" t="shared" si="4" ref="J28:J42">CONCATENATE("080505","")</f>
        <v>080505</v>
      </c>
      <c r="K28" t="s">
        <v>22</v>
      </c>
      <c r="L28" t="s">
        <v>23</v>
      </c>
      <c r="M28" t="str">
        <f t="shared" si="1"/>
        <v>1</v>
      </c>
      <c r="O28" t="str">
        <f t="shared" si="3"/>
        <v>1 </v>
      </c>
      <c r="P28">
        <v>17.05</v>
      </c>
      <c r="Q28" t="s">
        <v>24</v>
      </c>
    </row>
    <row r="29" spans="1:17" ht="15">
      <c r="A29" t="s">
        <v>17</v>
      </c>
      <c r="B29" s="1">
        <v>41831</v>
      </c>
      <c r="C29" t="s">
        <v>92</v>
      </c>
      <c r="D29" t="str">
        <f>CONCATENATE("0040035755","")</f>
        <v>0040035755</v>
      </c>
      <c r="E29" t="str">
        <f>CONCATENATE("0050501003015       ","")</f>
        <v>0050501003015       </v>
      </c>
      <c r="F29" t="str">
        <f>CONCATENATE("0606598622","")</f>
        <v>0606598622</v>
      </c>
      <c r="G29" t="s">
        <v>96</v>
      </c>
      <c r="H29" t="s">
        <v>97</v>
      </c>
      <c r="I29" t="s">
        <v>98</v>
      </c>
      <c r="J29" t="str">
        <f t="shared" si="4"/>
        <v>080505</v>
      </c>
      <c r="K29" t="s">
        <v>22</v>
      </c>
      <c r="L29" t="s">
        <v>23</v>
      </c>
      <c r="M29" t="str">
        <f t="shared" si="1"/>
        <v>1</v>
      </c>
      <c r="O29" t="str">
        <f t="shared" si="3"/>
        <v>1 </v>
      </c>
      <c r="P29">
        <v>179.8</v>
      </c>
      <c r="Q29" t="s">
        <v>24</v>
      </c>
    </row>
    <row r="30" spans="1:17" ht="15">
      <c r="A30" t="s">
        <v>17</v>
      </c>
      <c r="B30" s="1">
        <v>41831</v>
      </c>
      <c r="C30" t="s">
        <v>92</v>
      </c>
      <c r="D30" t="str">
        <f>CONCATENATE("0040017307","")</f>
        <v>0040017307</v>
      </c>
      <c r="E30" t="str">
        <f>CONCATENATE("0050501005120       ","")</f>
        <v>0050501005120       </v>
      </c>
      <c r="F30" t="str">
        <f>CONCATENATE("3399","")</f>
        <v>3399</v>
      </c>
      <c r="G30" t="s">
        <v>99</v>
      </c>
      <c r="H30" t="s">
        <v>100</v>
      </c>
      <c r="I30" t="s">
        <v>101</v>
      </c>
      <c r="J30" t="str">
        <f t="shared" si="4"/>
        <v>080505</v>
      </c>
      <c r="K30" t="s">
        <v>22</v>
      </c>
      <c r="L30" t="s">
        <v>23</v>
      </c>
      <c r="M30" t="str">
        <f t="shared" si="1"/>
        <v>1</v>
      </c>
      <c r="O30" t="str">
        <f t="shared" si="3"/>
        <v>1 </v>
      </c>
      <c r="P30">
        <v>35</v>
      </c>
      <c r="Q30" t="s">
        <v>24</v>
      </c>
    </row>
    <row r="31" spans="1:17" ht="15">
      <c r="A31" t="s">
        <v>17</v>
      </c>
      <c r="B31" s="1">
        <v>41831</v>
      </c>
      <c r="C31" t="s">
        <v>92</v>
      </c>
      <c r="D31" t="str">
        <f>CONCATENATE("0040035700","")</f>
        <v>0040035700</v>
      </c>
      <c r="E31" t="str">
        <f>CONCATENATE("0050505000221       ","")</f>
        <v>0050505000221       </v>
      </c>
      <c r="F31" t="str">
        <f>CONCATENATE("0606676808","")</f>
        <v>0606676808</v>
      </c>
      <c r="G31" t="s">
        <v>102</v>
      </c>
      <c r="H31" t="s">
        <v>103</v>
      </c>
      <c r="I31" t="s">
        <v>104</v>
      </c>
      <c r="J31" t="str">
        <f t="shared" si="4"/>
        <v>080505</v>
      </c>
      <c r="K31" t="s">
        <v>22</v>
      </c>
      <c r="L31" t="s">
        <v>23</v>
      </c>
      <c r="M31" t="str">
        <f t="shared" si="1"/>
        <v>1</v>
      </c>
      <c r="O31" t="str">
        <f t="shared" si="3"/>
        <v>1 </v>
      </c>
      <c r="P31">
        <v>11.5</v>
      </c>
      <c r="Q31" t="s">
        <v>24</v>
      </c>
    </row>
    <row r="32" spans="1:17" ht="15">
      <c r="A32" t="s">
        <v>17</v>
      </c>
      <c r="B32" s="1">
        <v>41831</v>
      </c>
      <c r="C32" t="s">
        <v>92</v>
      </c>
      <c r="D32" t="str">
        <f>CONCATENATE("0040014461","")</f>
        <v>0040014461</v>
      </c>
      <c r="E32" t="str">
        <f>CONCATENATE("0050505000330       ","")</f>
        <v>0050505000330       </v>
      </c>
      <c r="F32" t="str">
        <f>CONCATENATE("606034623","")</f>
        <v>606034623</v>
      </c>
      <c r="G32" t="s">
        <v>102</v>
      </c>
      <c r="H32" t="s">
        <v>105</v>
      </c>
      <c r="I32" t="s">
        <v>106</v>
      </c>
      <c r="J32" t="str">
        <f t="shared" si="4"/>
        <v>080505</v>
      </c>
      <c r="K32" t="s">
        <v>22</v>
      </c>
      <c r="L32" t="s">
        <v>23</v>
      </c>
      <c r="M32" t="str">
        <f t="shared" si="1"/>
        <v>1</v>
      </c>
      <c r="O32" t="str">
        <f t="shared" si="3"/>
        <v>1 </v>
      </c>
      <c r="P32">
        <v>66.25</v>
      </c>
      <c r="Q32" t="s">
        <v>24</v>
      </c>
    </row>
    <row r="33" spans="1:17" ht="15">
      <c r="A33" t="s">
        <v>17</v>
      </c>
      <c r="B33" s="1">
        <v>41831</v>
      </c>
      <c r="C33" t="s">
        <v>92</v>
      </c>
      <c r="D33" t="str">
        <f>CONCATENATE("0040014466","")</f>
        <v>0040014466</v>
      </c>
      <c r="E33" t="str">
        <f>CONCATENATE("0050505000350       ","")</f>
        <v>0050505000350       </v>
      </c>
      <c r="F33" t="str">
        <f>CONCATENATE("606034628","")</f>
        <v>606034628</v>
      </c>
      <c r="G33" t="s">
        <v>107</v>
      </c>
      <c r="H33" t="s">
        <v>108</v>
      </c>
      <c r="I33" t="s">
        <v>106</v>
      </c>
      <c r="J33" t="str">
        <f t="shared" si="4"/>
        <v>080505</v>
      </c>
      <c r="K33" t="s">
        <v>22</v>
      </c>
      <c r="L33" t="s">
        <v>23</v>
      </c>
      <c r="M33" t="str">
        <f aca="true" t="shared" si="5" ref="M33:M64">CONCATENATE("1","")</f>
        <v>1</v>
      </c>
      <c r="O33" t="str">
        <f>CONCATENATE("2 ","")</f>
        <v>2 </v>
      </c>
      <c r="P33">
        <v>16</v>
      </c>
      <c r="Q33" t="s">
        <v>24</v>
      </c>
    </row>
    <row r="34" spans="1:17" ht="15">
      <c r="A34" t="s">
        <v>17</v>
      </c>
      <c r="B34" s="1">
        <v>41831</v>
      </c>
      <c r="C34" t="s">
        <v>92</v>
      </c>
      <c r="D34" t="str">
        <f>CONCATENATE("0040014481","")</f>
        <v>0040014481</v>
      </c>
      <c r="E34" t="str">
        <f>CONCATENATE("0050506000120       ","")</f>
        <v>0050506000120       </v>
      </c>
      <c r="F34" t="str">
        <f>CONCATENATE("01993398","")</f>
        <v>01993398</v>
      </c>
      <c r="G34" t="s">
        <v>109</v>
      </c>
      <c r="H34" t="s">
        <v>110</v>
      </c>
      <c r="I34" t="s">
        <v>111</v>
      </c>
      <c r="J34" t="str">
        <f t="shared" si="4"/>
        <v>080505</v>
      </c>
      <c r="K34" t="s">
        <v>22</v>
      </c>
      <c r="L34" t="s">
        <v>23</v>
      </c>
      <c r="M34" t="str">
        <f t="shared" si="5"/>
        <v>1</v>
      </c>
      <c r="O34" t="str">
        <f aca="true" t="shared" si="6" ref="O34:O41">CONCATENATE("1 ","")</f>
        <v>1 </v>
      </c>
      <c r="P34">
        <v>28.9</v>
      </c>
      <c r="Q34" t="s">
        <v>24</v>
      </c>
    </row>
    <row r="35" spans="1:17" ht="15">
      <c r="A35" t="s">
        <v>17</v>
      </c>
      <c r="B35" s="1">
        <v>41831</v>
      </c>
      <c r="C35" t="s">
        <v>92</v>
      </c>
      <c r="D35" t="str">
        <f>CONCATENATE("0040015144","")</f>
        <v>0040015144</v>
      </c>
      <c r="E35" t="str">
        <f>CONCATENATE("0050506000445       ","")</f>
        <v>0050506000445       </v>
      </c>
      <c r="F35" t="str">
        <f>CONCATENATE("01994755","")</f>
        <v>01994755</v>
      </c>
      <c r="G35" t="s">
        <v>109</v>
      </c>
      <c r="H35" t="s">
        <v>112</v>
      </c>
      <c r="I35" t="s">
        <v>111</v>
      </c>
      <c r="J35" t="str">
        <f t="shared" si="4"/>
        <v>080505</v>
      </c>
      <c r="K35" t="s">
        <v>22</v>
      </c>
      <c r="L35" t="s">
        <v>23</v>
      </c>
      <c r="M35" t="str">
        <f t="shared" si="5"/>
        <v>1</v>
      </c>
      <c r="O35" t="str">
        <f t="shared" si="6"/>
        <v>1 </v>
      </c>
      <c r="P35">
        <v>20.95</v>
      </c>
      <c r="Q35" t="s">
        <v>24</v>
      </c>
    </row>
    <row r="36" spans="1:17" ht="15">
      <c r="A36" t="s">
        <v>17</v>
      </c>
      <c r="B36" s="1">
        <v>41831</v>
      </c>
      <c r="C36" t="s">
        <v>92</v>
      </c>
      <c r="D36" t="str">
        <f>CONCATENATE("0040031603","")</f>
        <v>0040031603</v>
      </c>
      <c r="E36" t="str">
        <f>CONCATENATE("0050507000340       ","")</f>
        <v>0050507000340       </v>
      </c>
      <c r="F36" t="str">
        <f>CONCATENATE("606602055","")</f>
        <v>606602055</v>
      </c>
      <c r="G36" t="s">
        <v>113</v>
      </c>
      <c r="H36" t="s">
        <v>114</v>
      </c>
      <c r="I36" t="s">
        <v>115</v>
      </c>
      <c r="J36" t="str">
        <f t="shared" si="4"/>
        <v>080505</v>
      </c>
      <c r="K36" t="s">
        <v>22</v>
      </c>
      <c r="L36" t="s">
        <v>23</v>
      </c>
      <c r="M36" t="str">
        <f t="shared" si="5"/>
        <v>1</v>
      </c>
      <c r="O36" t="str">
        <f t="shared" si="6"/>
        <v>1 </v>
      </c>
      <c r="P36">
        <v>32.4</v>
      </c>
      <c r="Q36" t="s">
        <v>24</v>
      </c>
    </row>
    <row r="37" spans="1:17" ht="15">
      <c r="A37" t="s">
        <v>17</v>
      </c>
      <c r="B37" s="1">
        <v>41831</v>
      </c>
      <c r="C37" t="s">
        <v>92</v>
      </c>
      <c r="D37" t="str">
        <f>CONCATENATE("0040014539","")</f>
        <v>0040014539</v>
      </c>
      <c r="E37" t="str">
        <f>CONCATENATE("0050509000320       ","")</f>
        <v>0050509000320       </v>
      </c>
      <c r="F37" t="str">
        <f>CONCATENATE("01980808","")</f>
        <v>01980808</v>
      </c>
      <c r="G37" t="s">
        <v>116</v>
      </c>
      <c r="H37" t="s">
        <v>117</v>
      </c>
      <c r="I37" t="s">
        <v>118</v>
      </c>
      <c r="J37" t="str">
        <f t="shared" si="4"/>
        <v>080505</v>
      </c>
      <c r="K37" t="s">
        <v>22</v>
      </c>
      <c r="L37" t="s">
        <v>23</v>
      </c>
      <c r="M37" t="str">
        <f t="shared" si="5"/>
        <v>1</v>
      </c>
      <c r="O37" t="str">
        <f t="shared" si="6"/>
        <v>1 </v>
      </c>
      <c r="P37">
        <v>17.05</v>
      </c>
      <c r="Q37" t="s">
        <v>24</v>
      </c>
    </row>
    <row r="38" spans="1:17" ht="15">
      <c r="A38" t="s">
        <v>17</v>
      </c>
      <c r="B38" s="1">
        <v>41831</v>
      </c>
      <c r="C38" t="s">
        <v>92</v>
      </c>
      <c r="D38" t="str">
        <f>CONCATENATE("0040020081","")</f>
        <v>0040020081</v>
      </c>
      <c r="E38" t="str">
        <f>CONCATENATE("0050509002030       ","")</f>
        <v>0050509002030       </v>
      </c>
      <c r="F38" t="str">
        <f>CONCATENATE("605747970","")</f>
        <v>605747970</v>
      </c>
      <c r="G38" t="s">
        <v>116</v>
      </c>
      <c r="H38" t="s">
        <v>119</v>
      </c>
      <c r="I38" t="s">
        <v>118</v>
      </c>
      <c r="J38" t="str">
        <f t="shared" si="4"/>
        <v>080505</v>
      </c>
      <c r="K38" t="s">
        <v>22</v>
      </c>
      <c r="L38" t="s">
        <v>23</v>
      </c>
      <c r="M38" t="str">
        <f t="shared" si="5"/>
        <v>1</v>
      </c>
      <c r="O38" t="str">
        <f t="shared" si="6"/>
        <v>1 </v>
      </c>
      <c r="P38">
        <v>15.35</v>
      </c>
      <c r="Q38" t="s">
        <v>24</v>
      </c>
    </row>
    <row r="39" spans="1:17" ht="15">
      <c r="A39" t="s">
        <v>17</v>
      </c>
      <c r="B39" s="1">
        <v>41831</v>
      </c>
      <c r="C39" t="s">
        <v>92</v>
      </c>
      <c r="D39" t="str">
        <f>CONCATENATE("0040016645","")</f>
        <v>0040016645</v>
      </c>
      <c r="E39" t="str">
        <f>CONCATENATE("0050512000138       ","")</f>
        <v>0050512000138       </v>
      </c>
      <c r="F39" t="str">
        <f>CONCATENATE("605393005","")</f>
        <v>605393005</v>
      </c>
      <c r="G39" t="s">
        <v>120</v>
      </c>
      <c r="H39" t="s">
        <v>121</v>
      </c>
      <c r="I39" t="s">
        <v>122</v>
      </c>
      <c r="J39" t="str">
        <f t="shared" si="4"/>
        <v>080505</v>
      </c>
      <c r="K39" t="s">
        <v>22</v>
      </c>
      <c r="L39" t="s">
        <v>23</v>
      </c>
      <c r="M39" t="str">
        <f t="shared" si="5"/>
        <v>1</v>
      </c>
      <c r="O39" t="str">
        <f t="shared" si="6"/>
        <v>1 </v>
      </c>
      <c r="P39">
        <v>19.8</v>
      </c>
      <c r="Q39" t="s">
        <v>24</v>
      </c>
    </row>
    <row r="40" spans="1:17" ht="15">
      <c r="A40" t="s">
        <v>17</v>
      </c>
      <c r="B40" s="1">
        <v>41831</v>
      </c>
      <c r="C40" t="s">
        <v>92</v>
      </c>
      <c r="D40" t="str">
        <f>CONCATENATE("0040014554","")</f>
        <v>0040014554</v>
      </c>
      <c r="E40" t="str">
        <f>CONCATENATE("0050512000230       ","")</f>
        <v>0050512000230       </v>
      </c>
      <c r="F40" t="str">
        <f>CONCATENATE("606034636","")</f>
        <v>606034636</v>
      </c>
      <c r="G40" t="s">
        <v>120</v>
      </c>
      <c r="H40" t="s">
        <v>123</v>
      </c>
      <c r="I40" t="s">
        <v>124</v>
      </c>
      <c r="J40" t="str">
        <f t="shared" si="4"/>
        <v>080505</v>
      </c>
      <c r="K40" t="s">
        <v>22</v>
      </c>
      <c r="L40" t="s">
        <v>23</v>
      </c>
      <c r="M40" t="str">
        <f t="shared" si="5"/>
        <v>1</v>
      </c>
      <c r="O40" t="str">
        <f t="shared" si="6"/>
        <v>1 </v>
      </c>
      <c r="P40">
        <v>10.65</v>
      </c>
      <c r="Q40" t="s">
        <v>24</v>
      </c>
    </row>
    <row r="41" spans="1:17" ht="15">
      <c r="A41" t="s">
        <v>17</v>
      </c>
      <c r="B41" s="1">
        <v>41831</v>
      </c>
      <c r="C41" t="s">
        <v>92</v>
      </c>
      <c r="D41" t="str">
        <f>CONCATENATE("0040015353","")</f>
        <v>0040015353</v>
      </c>
      <c r="E41" t="str">
        <f>CONCATENATE("0050512000445       ","")</f>
        <v>0050512000445       </v>
      </c>
      <c r="F41" t="str">
        <f>CONCATENATE("0605880793","")</f>
        <v>0605880793</v>
      </c>
      <c r="G41" t="s">
        <v>120</v>
      </c>
      <c r="H41" t="s">
        <v>125</v>
      </c>
      <c r="I41" t="s">
        <v>126</v>
      </c>
      <c r="J41" t="str">
        <f t="shared" si="4"/>
        <v>080505</v>
      </c>
      <c r="K41" t="s">
        <v>22</v>
      </c>
      <c r="L41" t="s">
        <v>23</v>
      </c>
      <c r="M41" t="str">
        <f t="shared" si="5"/>
        <v>1</v>
      </c>
      <c r="O41" t="str">
        <f t="shared" si="6"/>
        <v>1 </v>
      </c>
      <c r="P41">
        <v>19.7</v>
      </c>
      <c r="Q41" t="s">
        <v>24</v>
      </c>
    </row>
    <row r="42" spans="1:17" ht="15">
      <c r="A42" t="s">
        <v>17</v>
      </c>
      <c r="B42" s="1">
        <v>41831</v>
      </c>
      <c r="C42" t="s">
        <v>92</v>
      </c>
      <c r="D42" t="str">
        <f>CONCATENATE("0040015170","")</f>
        <v>0040015170</v>
      </c>
      <c r="E42" t="str">
        <f>CONCATENATE("0050518000295       ","")</f>
        <v>0050518000295       </v>
      </c>
      <c r="F42" t="str">
        <f>CONCATENATE("606088262","")</f>
        <v>606088262</v>
      </c>
      <c r="G42" t="s">
        <v>127</v>
      </c>
      <c r="H42" t="s">
        <v>128</v>
      </c>
      <c r="I42" t="s">
        <v>65</v>
      </c>
      <c r="J42" t="str">
        <f t="shared" si="4"/>
        <v>080505</v>
      </c>
      <c r="K42" t="s">
        <v>22</v>
      </c>
      <c r="L42" t="s">
        <v>23</v>
      </c>
      <c r="M42" t="str">
        <f t="shared" si="5"/>
        <v>1</v>
      </c>
      <c r="O42" t="str">
        <f>CONCATENATE("2 ","")</f>
        <v>2 </v>
      </c>
      <c r="P42">
        <v>20.35</v>
      </c>
      <c r="Q42" t="s">
        <v>24</v>
      </c>
    </row>
    <row r="43" spans="1:17" ht="15">
      <c r="A43" t="s">
        <v>17</v>
      </c>
      <c r="B43" s="1">
        <v>41831</v>
      </c>
      <c r="C43" t="s">
        <v>43</v>
      </c>
      <c r="D43" t="str">
        <f>CONCATENATE("0040030786","")</f>
        <v>0040030786</v>
      </c>
      <c r="E43" t="str">
        <f>CONCATENATE("0050519000140       ","")</f>
        <v>0050519000140       </v>
      </c>
      <c r="F43" t="str">
        <f>CONCATENATE("2125481","")</f>
        <v>2125481</v>
      </c>
      <c r="G43" t="s">
        <v>129</v>
      </c>
      <c r="H43" t="s">
        <v>130</v>
      </c>
      <c r="I43" t="s">
        <v>131</v>
      </c>
      <c r="J43" t="str">
        <f>CONCATENATE("080502","")</f>
        <v>080502</v>
      </c>
      <c r="K43" t="s">
        <v>22</v>
      </c>
      <c r="L43" t="s">
        <v>23</v>
      </c>
      <c r="M43" t="str">
        <f t="shared" si="5"/>
        <v>1</v>
      </c>
      <c r="O43" t="str">
        <f aca="true" t="shared" si="7" ref="O43:O55">CONCATENATE("1 ","")</f>
        <v>1 </v>
      </c>
      <c r="P43">
        <v>17.45</v>
      </c>
      <c r="Q43" t="s">
        <v>24</v>
      </c>
    </row>
    <row r="44" spans="1:17" ht="15">
      <c r="A44" t="s">
        <v>17</v>
      </c>
      <c r="B44" s="1">
        <v>41831</v>
      </c>
      <c r="C44" t="s">
        <v>43</v>
      </c>
      <c r="D44" t="str">
        <f>CONCATENATE("0040031229","")</f>
        <v>0040031229</v>
      </c>
      <c r="E44" t="str">
        <f>CONCATENATE("0050522000020       ","")</f>
        <v>0050522000020       </v>
      </c>
      <c r="F44" t="str">
        <f>CONCATENATE("606597836","")</f>
        <v>606597836</v>
      </c>
      <c r="G44" t="s">
        <v>132</v>
      </c>
      <c r="H44" t="s">
        <v>133</v>
      </c>
      <c r="I44" t="s">
        <v>134</v>
      </c>
      <c r="J44" t="str">
        <f>CONCATENATE("080502","")</f>
        <v>080502</v>
      </c>
      <c r="K44" t="s">
        <v>22</v>
      </c>
      <c r="L44" t="s">
        <v>23</v>
      </c>
      <c r="M44" t="str">
        <f t="shared" si="5"/>
        <v>1</v>
      </c>
      <c r="O44" t="str">
        <f t="shared" si="7"/>
        <v>1 </v>
      </c>
      <c r="P44">
        <v>18.2</v>
      </c>
      <c r="Q44" t="s">
        <v>24</v>
      </c>
    </row>
    <row r="45" spans="1:17" ht="15">
      <c r="A45" t="s">
        <v>17</v>
      </c>
      <c r="B45" s="1">
        <v>41831</v>
      </c>
      <c r="C45" t="s">
        <v>92</v>
      </c>
      <c r="D45" t="str">
        <f>CONCATENATE("0040033501","")</f>
        <v>0040033501</v>
      </c>
      <c r="E45" t="str">
        <f>CONCATENATE("0050527000175       ","")</f>
        <v>0050527000175       </v>
      </c>
      <c r="F45" t="str">
        <f>CONCATENATE("0606665997","")</f>
        <v>0606665997</v>
      </c>
      <c r="G45" t="s">
        <v>135</v>
      </c>
      <c r="H45" t="s">
        <v>136</v>
      </c>
      <c r="I45" t="s">
        <v>137</v>
      </c>
      <c r="J45" t="str">
        <f>CONCATENATE("080505","")</f>
        <v>080505</v>
      </c>
      <c r="K45" t="s">
        <v>22</v>
      </c>
      <c r="L45" t="s">
        <v>23</v>
      </c>
      <c r="M45" t="str">
        <f t="shared" si="5"/>
        <v>1</v>
      </c>
      <c r="O45" t="str">
        <f t="shared" si="7"/>
        <v>1 </v>
      </c>
      <c r="P45">
        <v>18.2</v>
      </c>
      <c r="Q45" t="s">
        <v>24</v>
      </c>
    </row>
    <row r="46" spans="1:17" ht="15">
      <c r="A46" t="s">
        <v>17</v>
      </c>
      <c r="B46" s="1">
        <v>41831</v>
      </c>
      <c r="C46" t="s">
        <v>92</v>
      </c>
      <c r="D46" t="str">
        <f>CONCATENATE("0040018661","")</f>
        <v>0040018661</v>
      </c>
      <c r="E46" t="str">
        <f>CONCATENATE("0050535000250       ","")</f>
        <v>0050535000250       </v>
      </c>
      <c r="F46" t="str">
        <f>CONCATENATE("605284893","")</f>
        <v>605284893</v>
      </c>
      <c r="G46" t="s">
        <v>138</v>
      </c>
      <c r="H46" t="s">
        <v>139</v>
      </c>
      <c r="I46" t="s">
        <v>140</v>
      </c>
      <c r="J46" t="str">
        <f>CONCATENATE("080505","")</f>
        <v>080505</v>
      </c>
      <c r="K46" t="s">
        <v>22</v>
      </c>
      <c r="L46" t="s">
        <v>23</v>
      </c>
      <c r="M46" t="str">
        <f t="shared" si="5"/>
        <v>1</v>
      </c>
      <c r="O46" t="str">
        <f t="shared" si="7"/>
        <v>1 </v>
      </c>
      <c r="P46">
        <v>70.3</v>
      </c>
      <c r="Q46" t="s">
        <v>24</v>
      </c>
    </row>
    <row r="47" spans="1:17" ht="15">
      <c r="A47" t="s">
        <v>17</v>
      </c>
      <c r="B47" s="1">
        <v>41831</v>
      </c>
      <c r="C47" t="s">
        <v>18</v>
      </c>
      <c r="D47" t="str">
        <f>CONCATENATE("0040031137","")</f>
        <v>0040031137</v>
      </c>
      <c r="E47" t="str">
        <f>CONCATENATE("0050540000325       ","")</f>
        <v>0050540000325       </v>
      </c>
      <c r="F47" t="str">
        <f>CONCATENATE("606597857","")</f>
        <v>606597857</v>
      </c>
      <c r="G47" t="s">
        <v>141</v>
      </c>
      <c r="H47" t="s">
        <v>142</v>
      </c>
      <c r="I47" t="s">
        <v>143</v>
      </c>
      <c r="J47" t="str">
        <f aca="true" t="shared" si="8" ref="J47:J54">CONCATENATE("080503","")</f>
        <v>080503</v>
      </c>
      <c r="K47" t="s">
        <v>22</v>
      </c>
      <c r="L47" t="s">
        <v>23</v>
      </c>
      <c r="M47" t="str">
        <f t="shared" si="5"/>
        <v>1</v>
      </c>
      <c r="O47" t="str">
        <f t="shared" si="7"/>
        <v>1 </v>
      </c>
      <c r="P47">
        <v>15.05</v>
      </c>
      <c r="Q47" t="s">
        <v>24</v>
      </c>
    </row>
    <row r="48" spans="1:17" ht="15">
      <c r="A48" t="s">
        <v>17</v>
      </c>
      <c r="B48" s="1">
        <v>41831</v>
      </c>
      <c r="C48" t="s">
        <v>18</v>
      </c>
      <c r="D48" t="str">
        <f>CONCATENATE("0040028208","")</f>
        <v>0040028208</v>
      </c>
      <c r="E48" t="str">
        <f>CONCATENATE("0050540000573       ","")</f>
        <v>0050540000573       </v>
      </c>
      <c r="F48" t="str">
        <f>CONCATENATE("1860479","")</f>
        <v>1860479</v>
      </c>
      <c r="G48" t="s">
        <v>141</v>
      </c>
      <c r="H48" t="s">
        <v>144</v>
      </c>
      <c r="I48" t="s">
        <v>145</v>
      </c>
      <c r="J48" t="str">
        <f t="shared" si="8"/>
        <v>080503</v>
      </c>
      <c r="K48" t="s">
        <v>22</v>
      </c>
      <c r="L48" t="s">
        <v>23</v>
      </c>
      <c r="M48" t="str">
        <f t="shared" si="5"/>
        <v>1</v>
      </c>
      <c r="O48" t="str">
        <f t="shared" si="7"/>
        <v>1 </v>
      </c>
      <c r="P48">
        <v>103.55</v>
      </c>
      <c r="Q48" t="s">
        <v>24</v>
      </c>
    </row>
    <row r="49" spans="1:17" ht="15">
      <c r="A49" t="s">
        <v>17</v>
      </c>
      <c r="B49" s="1">
        <v>41831</v>
      </c>
      <c r="C49" t="s">
        <v>18</v>
      </c>
      <c r="D49" t="str">
        <f>CONCATENATE("0040026739","")</f>
        <v>0040026739</v>
      </c>
      <c r="E49" t="str">
        <f>CONCATENATE("0050540000612       ","")</f>
        <v>0050540000612       </v>
      </c>
      <c r="F49" t="str">
        <f>CONCATENATE("1863544","")</f>
        <v>1863544</v>
      </c>
      <c r="G49" t="s">
        <v>141</v>
      </c>
      <c r="H49" t="s">
        <v>146</v>
      </c>
      <c r="I49" t="s">
        <v>147</v>
      </c>
      <c r="J49" t="str">
        <f t="shared" si="8"/>
        <v>080503</v>
      </c>
      <c r="K49" t="s">
        <v>22</v>
      </c>
      <c r="L49" t="s">
        <v>23</v>
      </c>
      <c r="M49" t="str">
        <f t="shared" si="5"/>
        <v>1</v>
      </c>
      <c r="O49" t="str">
        <f t="shared" si="7"/>
        <v>1 </v>
      </c>
      <c r="P49">
        <v>59.35</v>
      </c>
      <c r="Q49" t="s">
        <v>24</v>
      </c>
    </row>
    <row r="50" spans="1:17" ht="15">
      <c r="A50" t="s">
        <v>17</v>
      </c>
      <c r="B50" s="1">
        <v>41831</v>
      </c>
      <c r="C50" t="s">
        <v>18</v>
      </c>
      <c r="D50" t="str">
        <f>CONCATENATE("0040009460","")</f>
        <v>0040009460</v>
      </c>
      <c r="E50" t="str">
        <f>CONCATENATE("0050540000765       ","")</f>
        <v>0050540000765       </v>
      </c>
      <c r="F50" t="str">
        <f>CONCATENATE("07295882","")</f>
        <v>07295882</v>
      </c>
      <c r="G50" t="s">
        <v>148</v>
      </c>
      <c r="H50" t="s">
        <v>149</v>
      </c>
      <c r="I50" t="s">
        <v>150</v>
      </c>
      <c r="J50" t="str">
        <f t="shared" si="8"/>
        <v>080503</v>
      </c>
      <c r="K50" t="s">
        <v>22</v>
      </c>
      <c r="L50" t="s">
        <v>23</v>
      </c>
      <c r="M50" t="str">
        <f t="shared" si="5"/>
        <v>1</v>
      </c>
      <c r="O50" t="str">
        <f t="shared" si="7"/>
        <v>1 </v>
      </c>
      <c r="P50">
        <v>103.15</v>
      </c>
      <c r="Q50" t="s">
        <v>24</v>
      </c>
    </row>
    <row r="51" spans="1:17" ht="15">
      <c r="A51" t="s">
        <v>17</v>
      </c>
      <c r="B51" s="1">
        <v>41831</v>
      </c>
      <c r="C51" t="s">
        <v>18</v>
      </c>
      <c r="D51" t="str">
        <f>CONCATENATE("0040000285","")</f>
        <v>0040000285</v>
      </c>
      <c r="E51" t="str">
        <f>CONCATENATE("0050540001095       ","")</f>
        <v>0050540001095       </v>
      </c>
      <c r="F51" t="str">
        <f>CONCATENATE("605752488","")</f>
        <v>605752488</v>
      </c>
      <c r="G51" t="s">
        <v>141</v>
      </c>
      <c r="H51" t="s">
        <v>151</v>
      </c>
      <c r="I51" t="s">
        <v>152</v>
      </c>
      <c r="J51" t="str">
        <f t="shared" si="8"/>
        <v>080503</v>
      </c>
      <c r="K51" t="s">
        <v>22</v>
      </c>
      <c r="L51" t="s">
        <v>23</v>
      </c>
      <c r="M51" t="str">
        <f t="shared" si="5"/>
        <v>1</v>
      </c>
      <c r="O51" t="str">
        <f t="shared" si="7"/>
        <v>1 </v>
      </c>
      <c r="P51">
        <v>17.4</v>
      </c>
      <c r="Q51" t="s">
        <v>24</v>
      </c>
    </row>
    <row r="52" spans="1:17" ht="15">
      <c r="A52" t="s">
        <v>17</v>
      </c>
      <c r="B52" s="1">
        <v>41831</v>
      </c>
      <c r="C52" t="s">
        <v>18</v>
      </c>
      <c r="D52" t="str">
        <f>CONCATENATE("0040023416","")</f>
        <v>0040023416</v>
      </c>
      <c r="E52" t="str">
        <f>CONCATENATE("0050540001115       ","")</f>
        <v>0050540001115       </v>
      </c>
      <c r="F52" t="str">
        <f>CONCATENATE("1944381","")</f>
        <v>1944381</v>
      </c>
      <c r="G52" t="s">
        <v>141</v>
      </c>
      <c r="H52" t="s">
        <v>153</v>
      </c>
      <c r="I52" t="s">
        <v>154</v>
      </c>
      <c r="J52" t="str">
        <f t="shared" si="8"/>
        <v>080503</v>
      </c>
      <c r="K52" t="s">
        <v>22</v>
      </c>
      <c r="L52" t="s">
        <v>23</v>
      </c>
      <c r="M52" t="str">
        <f t="shared" si="5"/>
        <v>1</v>
      </c>
      <c r="O52" t="str">
        <f t="shared" si="7"/>
        <v>1 </v>
      </c>
      <c r="P52">
        <v>51.65</v>
      </c>
      <c r="Q52" t="s">
        <v>24</v>
      </c>
    </row>
    <row r="53" spans="1:17" ht="15">
      <c r="A53" t="s">
        <v>17</v>
      </c>
      <c r="B53" s="1">
        <v>41831</v>
      </c>
      <c r="C53" t="s">
        <v>18</v>
      </c>
      <c r="D53" t="str">
        <f>CONCATENATE("0040035748","")</f>
        <v>0040035748</v>
      </c>
      <c r="E53" t="str">
        <f>CONCATENATE("0050541000429       ","")</f>
        <v>0050541000429       </v>
      </c>
      <c r="F53" t="str">
        <f>CONCATENATE("0606598623","")</f>
        <v>0606598623</v>
      </c>
      <c r="G53" t="s">
        <v>148</v>
      </c>
      <c r="H53" t="s">
        <v>155</v>
      </c>
      <c r="I53" t="s">
        <v>156</v>
      </c>
      <c r="J53" t="str">
        <f t="shared" si="8"/>
        <v>080503</v>
      </c>
      <c r="K53" t="s">
        <v>22</v>
      </c>
      <c r="L53" t="s">
        <v>23</v>
      </c>
      <c r="M53" t="str">
        <f t="shared" si="5"/>
        <v>1</v>
      </c>
      <c r="O53" t="str">
        <f t="shared" si="7"/>
        <v>1 </v>
      </c>
      <c r="P53">
        <v>22.5</v>
      </c>
      <c r="Q53" t="s">
        <v>24</v>
      </c>
    </row>
    <row r="54" spans="1:17" ht="15">
      <c r="A54" t="s">
        <v>17</v>
      </c>
      <c r="B54" s="1">
        <v>41831</v>
      </c>
      <c r="C54" t="s">
        <v>18</v>
      </c>
      <c r="D54" t="str">
        <f>CONCATENATE("0040027833","")</f>
        <v>0040027833</v>
      </c>
      <c r="E54" t="str">
        <f>CONCATENATE("0050542000058       ","")</f>
        <v>0050542000058       </v>
      </c>
      <c r="F54" t="str">
        <f>CONCATENATE("2129029","")</f>
        <v>2129029</v>
      </c>
      <c r="G54" t="s">
        <v>157</v>
      </c>
      <c r="H54" t="s">
        <v>158</v>
      </c>
      <c r="I54" t="s">
        <v>159</v>
      </c>
      <c r="J54" t="str">
        <f t="shared" si="8"/>
        <v>080503</v>
      </c>
      <c r="K54" t="s">
        <v>22</v>
      </c>
      <c r="L54" t="s">
        <v>23</v>
      </c>
      <c r="M54" t="str">
        <f t="shared" si="5"/>
        <v>1</v>
      </c>
      <c r="O54" t="str">
        <f t="shared" si="7"/>
        <v>1 </v>
      </c>
      <c r="P54">
        <v>11.55</v>
      </c>
      <c r="Q54" t="s">
        <v>24</v>
      </c>
    </row>
    <row r="55" spans="1:17" ht="15">
      <c r="A55" t="s">
        <v>17</v>
      </c>
      <c r="B55" s="1">
        <v>41831</v>
      </c>
      <c r="C55" t="s">
        <v>43</v>
      </c>
      <c r="D55" t="str">
        <f>CONCATENATE("0040022643","")</f>
        <v>0040022643</v>
      </c>
      <c r="E55" t="str">
        <f>CONCATENATE("0050552000205       ","")</f>
        <v>0050552000205       </v>
      </c>
      <c r="F55" t="str">
        <f>CONCATENATE("1671249","")</f>
        <v>1671249</v>
      </c>
      <c r="G55" t="s">
        <v>160</v>
      </c>
      <c r="H55" t="s">
        <v>161</v>
      </c>
      <c r="I55" t="s">
        <v>162</v>
      </c>
      <c r="J55" t="str">
        <f aca="true" t="shared" si="9" ref="J55:J65">CONCATENATE("080502","")</f>
        <v>080502</v>
      </c>
      <c r="K55" t="s">
        <v>22</v>
      </c>
      <c r="L55" t="s">
        <v>23</v>
      </c>
      <c r="M55" t="str">
        <f t="shared" si="5"/>
        <v>1</v>
      </c>
      <c r="O55" t="str">
        <f t="shared" si="7"/>
        <v>1 </v>
      </c>
      <c r="P55">
        <v>10.6</v>
      </c>
      <c r="Q55" t="s">
        <v>24</v>
      </c>
    </row>
    <row r="56" spans="1:17" ht="15">
      <c r="A56" t="s">
        <v>17</v>
      </c>
      <c r="B56" s="1">
        <v>41831</v>
      </c>
      <c r="C56" t="s">
        <v>43</v>
      </c>
      <c r="D56" t="str">
        <f>CONCATENATE("0040031198","")</f>
        <v>0040031198</v>
      </c>
      <c r="E56" t="str">
        <f>CONCATENATE("0050553001040       ","")</f>
        <v>0050553001040       </v>
      </c>
      <c r="F56" t="str">
        <f>CONCATENATE("10099524","")</f>
        <v>10099524</v>
      </c>
      <c r="G56" t="s">
        <v>163</v>
      </c>
      <c r="H56" t="s">
        <v>164</v>
      </c>
      <c r="I56" t="s">
        <v>165</v>
      </c>
      <c r="J56" t="str">
        <f t="shared" si="9"/>
        <v>080502</v>
      </c>
      <c r="K56" t="s">
        <v>22</v>
      </c>
      <c r="L56" t="s">
        <v>23</v>
      </c>
      <c r="M56" t="str">
        <f t="shared" si="5"/>
        <v>1</v>
      </c>
      <c r="O56" t="str">
        <f>CONCATENATE("2 ","")</f>
        <v>2 </v>
      </c>
      <c r="P56">
        <v>19.1</v>
      </c>
      <c r="Q56" t="s">
        <v>24</v>
      </c>
    </row>
    <row r="57" spans="1:17" ht="15">
      <c r="A57" t="s">
        <v>17</v>
      </c>
      <c r="B57" s="1">
        <v>41831</v>
      </c>
      <c r="C57" t="s">
        <v>43</v>
      </c>
      <c r="D57" t="str">
        <f>CONCATENATE("0040031073","")</f>
        <v>0040031073</v>
      </c>
      <c r="E57" t="str">
        <f>CONCATENATE("0050553001050       ","")</f>
        <v>0050553001050       </v>
      </c>
      <c r="F57" t="str">
        <f>CONCATENATE("10099608","")</f>
        <v>10099608</v>
      </c>
      <c r="G57" t="s">
        <v>163</v>
      </c>
      <c r="H57" t="s">
        <v>166</v>
      </c>
      <c r="I57" t="s">
        <v>165</v>
      </c>
      <c r="J57" t="str">
        <f t="shared" si="9"/>
        <v>080502</v>
      </c>
      <c r="K57" t="s">
        <v>22</v>
      </c>
      <c r="L57" t="s">
        <v>23</v>
      </c>
      <c r="M57" t="str">
        <f t="shared" si="5"/>
        <v>1</v>
      </c>
      <c r="O57" t="str">
        <f>CONCATENATE("6 ","")</f>
        <v>6 </v>
      </c>
      <c r="P57">
        <v>43.35</v>
      </c>
      <c r="Q57" t="s">
        <v>24</v>
      </c>
    </row>
    <row r="58" spans="1:17" ht="15">
      <c r="A58" t="s">
        <v>17</v>
      </c>
      <c r="B58" s="1">
        <v>41831</v>
      </c>
      <c r="C58" t="s">
        <v>43</v>
      </c>
      <c r="D58" t="str">
        <f>CONCATENATE("0040032973","")</f>
        <v>0040032973</v>
      </c>
      <c r="E58" t="str">
        <f>CONCATENATE("0050553001070       ","")</f>
        <v>0050553001070       </v>
      </c>
      <c r="F58" t="str">
        <f>CONCATENATE("10099520","")</f>
        <v>10099520</v>
      </c>
      <c r="G58" t="s">
        <v>163</v>
      </c>
      <c r="H58" t="s">
        <v>167</v>
      </c>
      <c r="I58" t="s">
        <v>165</v>
      </c>
      <c r="J58" t="str">
        <f t="shared" si="9"/>
        <v>080502</v>
      </c>
      <c r="K58" t="s">
        <v>22</v>
      </c>
      <c r="L58" t="s">
        <v>23</v>
      </c>
      <c r="M58" t="str">
        <f t="shared" si="5"/>
        <v>1</v>
      </c>
      <c r="O58" t="str">
        <f>CONCATENATE("1 ","")</f>
        <v>1 </v>
      </c>
      <c r="P58">
        <v>26.35</v>
      </c>
      <c r="Q58" t="s">
        <v>24</v>
      </c>
    </row>
    <row r="59" spans="1:17" ht="15">
      <c r="A59" t="s">
        <v>17</v>
      </c>
      <c r="B59" s="1">
        <v>41831</v>
      </c>
      <c r="C59" t="s">
        <v>43</v>
      </c>
      <c r="D59" t="str">
        <f>CONCATENATE("0040032977","")</f>
        <v>0040032977</v>
      </c>
      <c r="E59" t="str">
        <f>CONCATENATE("0050553001110       ","")</f>
        <v>0050553001110       </v>
      </c>
      <c r="F59" t="str">
        <f>CONCATENATE("10091684","")</f>
        <v>10091684</v>
      </c>
      <c r="G59" t="s">
        <v>163</v>
      </c>
      <c r="H59" t="s">
        <v>168</v>
      </c>
      <c r="I59" t="s">
        <v>165</v>
      </c>
      <c r="J59" t="str">
        <f t="shared" si="9"/>
        <v>080502</v>
      </c>
      <c r="K59" t="s">
        <v>22</v>
      </c>
      <c r="L59" t="s">
        <v>23</v>
      </c>
      <c r="M59" t="str">
        <f t="shared" si="5"/>
        <v>1</v>
      </c>
      <c r="O59" t="str">
        <f>CONCATENATE("4 ","")</f>
        <v>4 </v>
      </c>
      <c r="P59">
        <v>29.05</v>
      </c>
      <c r="Q59" t="s">
        <v>24</v>
      </c>
    </row>
    <row r="60" spans="1:17" ht="15">
      <c r="A60" t="s">
        <v>17</v>
      </c>
      <c r="B60" s="1">
        <v>41831</v>
      </c>
      <c r="C60" t="s">
        <v>43</v>
      </c>
      <c r="D60" t="str">
        <f>CONCATENATE("0040015234","")</f>
        <v>0040015234</v>
      </c>
      <c r="E60" t="str">
        <f>CONCATENATE("0050554000285       ","")</f>
        <v>0050554000285       </v>
      </c>
      <c r="F60" t="str">
        <f>CONCATENATE("605755413","")</f>
        <v>605755413</v>
      </c>
      <c r="G60" t="s">
        <v>169</v>
      </c>
      <c r="H60" t="s">
        <v>170</v>
      </c>
      <c r="I60" t="s">
        <v>171</v>
      </c>
      <c r="J60" t="str">
        <f t="shared" si="9"/>
        <v>080502</v>
      </c>
      <c r="K60" t="s">
        <v>22</v>
      </c>
      <c r="L60" t="s">
        <v>23</v>
      </c>
      <c r="M60" t="str">
        <f t="shared" si="5"/>
        <v>1</v>
      </c>
      <c r="O60" t="str">
        <f>CONCATENATE("2 ","")</f>
        <v>2 </v>
      </c>
      <c r="P60">
        <v>197.65</v>
      </c>
      <c r="Q60" t="s">
        <v>24</v>
      </c>
    </row>
    <row r="61" spans="1:17" ht="15">
      <c r="A61" t="s">
        <v>17</v>
      </c>
      <c r="B61" s="1">
        <v>41831</v>
      </c>
      <c r="C61" t="s">
        <v>43</v>
      </c>
      <c r="D61" t="str">
        <f>CONCATENATE("0040031414","")</f>
        <v>0040031414</v>
      </c>
      <c r="E61" t="str">
        <f>CONCATENATE("0050557000143       ","")</f>
        <v>0050557000143       </v>
      </c>
      <c r="F61" t="str">
        <f>CONCATENATE("606601847","")</f>
        <v>606601847</v>
      </c>
      <c r="G61" t="s">
        <v>172</v>
      </c>
      <c r="H61" t="s">
        <v>173</v>
      </c>
      <c r="I61" t="s">
        <v>174</v>
      </c>
      <c r="J61" t="str">
        <f t="shared" si="9"/>
        <v>080502</v>
      </c>
      <c r="K61" t="s">
        <v>22</v>
      </c>
      <c r="L61" t="s">
        <v>23</v>
      </c>
      <c r="M61" t="str">
        <f t="shared" si="5"/>
        <v>1</v>
      </c>
      <c r="O61" t="str">
        <f>CONCATENATE("5 ","")</f>
        <v>5 </v>
      </c>
      <c r="P61">
        <v>59.75</v>
      </c>
      <c r="Q61" t="s">
        <v>24</v>
      </c>
    </row>
    <row r="62" spans="1:17" ht="15">
      <c r="A62" t="s">
        <v>17</v>
      </c>
      <c r="B62" s="1">
        <v>41831</v>
      </c>
      <c r="C62" t="s">
        <v>43</v>
      </c>
      <c r="D62" t="str">
        <f>CONCATENATE("0040023638","")</f>
        <v>0040023638</v>
      </c>
      <c r="E62" t="str">
        <f>CONCATENATE("0050557000149       ","")</f>
        <v>0050557000149       </v>
      </c>
      <c r="F62" t="str">
        <f>CONCATENATE("2189074","")</f>
        <v>2189074</v>
      </c>
      <c r="G62" t="s">
        <v>172</v>
      </c>
      <c r="H62" t="s">
        <v>175</v>
      </c>
      <c r="I62" t="s">
        <v>176</v>
      </c>
      <c r="J62" t="str">
        <f t="shared" si="9"/>
        <v>080502</v>
      </c>
      <c r="K62" t="s">
        <v>22</v>
      </c>
      <c r="L62" t="s">
        <v>23</v>
      </c>
      <c r="M62" t="str">
        <f t="shared" si="5"/>
        <v>1</v>
      </c>
      <c r="O62" t="str">
        <f aca="true" t="shared" si="10" ref="O62:O96">CONCATENATE("1 ","")</f>
        <v>1 </v>
      </c>
      <c r="P62">
        <v>21.75</v>
      </c>
      <c r="Q62" t="s">
        <v>24</v>
      </c>
    </row>
    <row r="63" spans="1:17" ht="15">
      <c r="A63" t="s">
        <v>17</v>
      </c>
      <c r="B63" s="1">
        <v>41831</v>
      </c>
      <c r="C63" t="s">
        <v>43</v>
      </c>
      <c r="D63" t="str">
        <f>CONCATENATE("0040032971","")</f>
        <v>0040032971</v>
      </c>
      <c r="E63" t="str">
        <f>CONCATENATE("0050558000112       ","")</f>
        <v>0050558000112       </v>
      </c>
      <c r="F63" t="str">
        <f>CONCATENATE("2185610","")</f>
        <v>2185610</v>
      </c>
      <c r="G63" t="s">
        <v>177</v>
      </c>
      <c r="H63" t="s">
        <v>178</v>
      </c>
      <c r="I63" t="s">
        <v>179</v>
      </c>
      <c r="J63" t="str">
        <f t="shared" si="9"/>
        <v>080502</v>
      </c>
      <c r="K63" t="s">
        <v>22</v>
      </c>
      <c r="L63" t="s">
        <v>23</v>
      </c>
      <c r="M63" t="str">
        <f t="shared" si="5"/>
        <v>1</v>
      </c>
      <c r="O63" t="str">
        <f t="shared" si="10"/>
        <v>1 </v>
      </c>
      <c r="P63">
        <v>19</v>
      </c>
      <c r="Q63" t="s">
        <v>24</v>
      </c>
    </row>
    <row r="64" spans="1:17" ht="15">
      <c r="A64" t="s">
        <v>17</v>
      </c>
      <c r="B64" s="1">
        <v>41831</v>
      </c>
      <c r="C64" t="s">
        <v>43</v>
      </c>
      <c r="D64" t="str">
        <f>CONCATENATE("0040014897","")</f>
        <v>0040014897</v>
      </c>
      <c r="E64" t="str">
        <f>CONCATENATE("0050558000122       ","")</f>
        <v>0050558000122       </v>
      </c>
      <c r="F64" t="str">
        <f>CONCATENATE("605754435","")</f>
        <v>605754435</v>
      </c>
      <c r="G64" t="s">
        <v>180</v>
      </c>
      <c r="H64" t="s">
        <v>181</v>
      </c>
      <c r="I64" t="s">
        <v>182</v>
      </c>
      <c r="J64" t="str">
        <f t="shared" si="9"/>
        <v>080502</v>
      </c>
      <c r="K64" t="s">
        <v>22</v>
      </c>
      <c r="L64" t="s">
        <v>23</v>
      </c>
      <c r="M64" t="str">
        <f t="shared" si="5"/>
        <v>1</v>
      </c>
      <c r="O64" t="str">
        <f t="shared" si="10"/>
        <v>1 </v>
      </c>
      <c r="P64">
        <v>22.15</v>
      </c>
      <c r="Q64" t="s">
        <v>24</v>
      </c>
    </row>
    <row r="65" spans="1:17" ht="15">
      <c r="A65" t="s">
        <v>17</v>
      </c>
      <c r="B65" s="1">
        <v>41831</v>
      </c>
      <c r="C65" t="s">
        <v>43</v>
      </c>
      <c r="D65" t="str">
        <f>CONCATENATE("0040028012","")</f>
        <v>0040028012</v>
      </c>
      <c r="E65" t="str">
        <f>CONCATENATE("0050558000127       ","")</f>
        <v>0050558000127       </v>
      </c>
      <c r="F65" t="str">
        <f>CONCATENATE("2129033","")</f>
        <v>2129033</v>
      </c>
      <c r="G65" t="s">
        <v>180</v>
      </c>
      <c r="H65" t="s">
        <v>183</v>
      </c>
      <c r="I65" t="s">
        <v>184</v>
      </c>
      <c r="J65" t="str">
        <f t="shared" si="9"/>
        <v>080502</v>
      </c>
      <c r="K65" t="s">
        <v>22</v>
      </c>
      <c r="L65" t="s">
        <v>23</v>
      </c>
      <c r="M65" t="str">
        <f aca="true" t="shared" si="11" ref="M65:M88">CONCATENATE("1","")</f>
        <v>1</v>
      </c>
      <c r="O65" t="str">
        <f t="shared" si="10"/>
        <v>1 </v>
      </c>
      <c r="P65">
        <v>24.1</v>
      </c>
      <c r="Q65" t="s">
        <v>24</v>
      </c>
    </row>
    <row r="66" spans="1:17" ht="15">
      <c r="A66" t="s">
        <v>17</v>
      </c>
      <c r="B66" s="1">
        <v>41831</v>
      </c>
      <c r="C66" t="s">
        <v>18</v>
      </c>
      <c r="D66" t="str">
        <f>CONCATENATE("0040027746","")</f>
        <v>0040027746</v>
      </c>
      <c r="E66" t="str">
        <f>CONCATENATE("0050565001101       ","")</f>
        <v>0050565001101       </v>
      </c>
      <c r="F66" t="str">
        <f>CONCATENATE("606035436","")</f>
        <v>606035436</v>
      </c>
      <c r="G66" t="s">
        <v>185</v>
      </c>
      <c r="H66" t="s">
        <v>186</v>
      </c>
      <c r="I66" t="s">
        <v>187</v>
      </c>
      <c r="J66" t="str">
        <f>CONCATENATE("080503","")</f>
        <v>080503</v>
      </c>
      <c r="K66" t="s">
        <v>22</v>
      </c>
      <c r="L66" t="s">
        <v>23</v>
      </c>
      <c r="M66" t="str">
        <f t="shared" si="11"/>
        <v>1</v>
      </c>
      <c r="O66" t="str">
        <f t="shared" si="10"/>
        <v>1 </v>
      </c>
      <c r="P66">
        <v>13.9</v>
      </c>
      <c r="Q66" t="s">
        <v>24</v>
      </c>
    </row>
    <row r="67" spans="1:17" ht="15">
      <c r="A67" t="s">
        <v>17</v>
      </c>
      <c r="B67" s="1">
        <v>41831</v>
      </c>
      <c r="C67" t="s">
        <v>18</v>
      </c>
      <c r="D67" t="str">
        <f>CONCATENATE("0040015226","")</f>
        <v>0040015226</v>
      </c>
      <c r="E67" t="str">
        <f>CONCATENATE("0050572000370       ","")</f>
        <v>0050572000370       </v>
      </c>
      <c r="F67" t="str">
        <f>CONCATENATE("01995263","")</f>
        <v>01995263</v>
      </c>
      <c r="G67" t="s">
        <v>188</v>
      </c>
      <c r="H67" t="s">
        <v>189</v>
      </c>
      <c r="I67" t="s">
        <v>190</v>
      </c>
      <c r="J67" t="str">
        <f>CONCATENATE("080503","")</f>
        <v>080503</v>
      </c>
      <c r="K67" t="s">
        <v>22</v>
      </c>
      <c r="L67" t="s">
        <v>23</v>
      </c>
      <c r="M67" t="str">
        <f t="shared" si="11"/>
        <v>1</v>
      </c>
      <c r="O67" t="str">
        <f t="shared" si="10"/>
        <v>1 </v>
      </c>
      <c r="P67">
        <v>685.2</v>
      </c>
      <c r="Q67" t="s">
        <v>24</v>
      </c>
    </row>
    <row r="68" spans="1:17" ht="15">
      <c r="A68" t="s">
        <v>17</v>
      </c>
      <c r="B68" s="1">
        <v>41831</v>
      </c>
      <c r="C68" t="s">
        <v>191</v>
      </c>
      <c r="D68" t="str">
        <f>CONCATENATE("0040009969","")</f>
        <v>0040009969</v>
      </c>
      <c r="E68" t="str">
        <f>CONCATENATE("0060100000102       ","")</f>
        <v>0060100000102       </v>
      </c>
      <c r="F68" t="str">
        <f>CONCATENATE("605565048","")</f>
        <v>605565048</v>
      </c>
      <c r="G68" t="s">
        <v>192</v>
      </c>
      <c r="H68" t="s">
        <v>193</v>
      </c>
      <c r="I68" t="s">
        <v>194</v>
      </c>
      <c r="J68" t="str">
        <f aca="true" t="shared" si="12" ref="J68:J131">CONCATENATE("080601","")</f>
        <v>080601</v>
      </c>
      <c r="K68" t="s">
        <v>22</v>
      </c>
      <c r="L68" t="s">
        <v>23</v>
      </c>
      <c r="M68" t="str">
        <f t="shared" si="11"/>
        <v>1</v>
      </c>
      <c r="O68" t="str">
        <f t="shared" si="10"/>
        <v>1 </v>
      </c>
      <c r="P68">
        <v>100.6</v>
      </c>
      <c r="Q68" t="s">
        <v>24</v>
      </c>
    </row>
    <row r="69" spans="1:17" ht="15">
      <c r="A69" t="s">
        <v>17</v>
      </c>
      <c r="B69" s="1">
        <v>41831</v>
      </c>
      <c r="C69" t="s">
        <v>191</v>
      </c>
      <c r="D69" t="str">
        <f>CONCATENATE("0040008408","")</f>
        <v>0040008408</v>
      </c>
      <c r="E69" t="str">
        <f>CONCATENATE("0060100000309       ","")</f>
        <v>0060100000309       </v>
      </c>
      <c r="F69" t="str">
        <f>CONCATENATE("0605349657","")</f>
        <v>0605349657</v>
      </c>
      <c r="G69" t="s">
        <v>192</v>
      </c>
      <c r="H69" t="s">
        <v>195</v>
      </c>
      <c r="I69" t="s">
        <v>196</v>
      </c>
      <c r="J69" t="str">
        <f t="shared" si="12"/>
        <v>080601</v>
      </c>
      <c r="K69" t="s">
        <v>22</v>
      </c>
      <c r="L69" t="s">
        <v>23</v>
      </c>
      <c r="M69" t="str">
        <f t="shared" si="11"/>
        <v>1</v>
      </c>
      <c r="O69" t="str">
        <f t="shared" si="10"/>
        <v>1 </v>
      </c>
      <c r="P69">
        <v>80.85</v>
      </c>
      <c r="Q69" t="s">
        <v>24</v>
      </c>
    </row>
    <row r="70" spans="1:17" ht="15">
      <c r="A70" t="s">
        <v>17</v>
      </c>
      <c r="B70" s="1">
        <v>41831</v>
      </c>
      <c r="C70" t="s">
        <v>191</v>
      </c>
      <c r="D70" t="str">
        <f>CONCATENATE("0040008404","")</f>
        <v>0040008404</v>
      </c>
      <c r="E70" t="str">
        <f>CONCATENATE("0060100000404       ","")</f>
        <v>0060100000404       </v>
      </c>
      <c r="F70" t="str">
        <f>CONCATENATE("0605291724","")</f>
        <v>0605291724</v>
      </c>
      <c r="G70" t="s">
        <v>192</v>
      </c>
      <c r="H70" t="s">
        <v>197</v>
      </c>
      <c r="I70" t="s">
        <v>198</v>
      </c>
      <c r="J70" t="str">
        <f t="shared" si="12"/>
        <v>080601</v>
      </c>
      <c r="K70" t="s">
        <v>22</v>
      </c>
      <c r="L70" t="s">
        <v>23</v>
      </c>
      <c r="M70" t="str">
        <f t="shared" si="11"/>
        <v>1</v>
      </c>
      <c r="O70" t="str">
        <f t="shared" si="10"/>
        <v>1 </v>
      </c>
      <c r="P70">
        <v>51.75</v>
      </c>
      <c r="Q70" t="s">
        <v>24</v>
      </c>
    </row>
    <row r="71" spans="1:17" ht="15">
      <c r="A71" t="s">
        <v>17</v>
      </c>
      <c r="B71" s="1">
        <v>41831</v>
      </c>
      <c r="C71" t="s">
        <v>191</v>
      </c>
      <c r="D71" t="str">
        <f>CONCATENATE("0040008609","")</f>
        <v>0040008609</v>
      </c>
      <c r="E71" t="str">
        <f>CONCATENATE("0060100000470       ","")</f>
        <v>0060100000470       </v>
      </c>
      <c r="F71" t="str">
        <f>CONCATENATE("0605349682","")</f>
        <v>0605349682</v>
      </c>
      <c r="G71" t="s">
        <v>192</v>
      </c>
      <c r="H71" t="s">
        <v>199</v>
      </c>
      <c r="I71" t="s">
        <v>200</v>
      </c>
      <c r="J71" t="str">
        <f t="shared" si="12"/>
        <v>080601</v>
      </c>
      <c r="K71" t="s">
        <v>22</v>
      </c>
      <c r="L71" t="s">
        <v>23</v>
      </c>
      <c r="M71" t="str">
        <f t="shared" si="11"/>
        <v>1</v>
      </c>
      <c r="O71" t="str">
        <f t="shared" si="10"/>
        <v>1 </v>
      </c>
      <c r="P71">
        <v>28.9</v>
      </c>
      <c r="Q71" t="s">
        <v>24</v>
      </c>
    </row>
    <row r="72" spans="1:17" ht="15">
      <c r="A72" t="s">
        <v>17</v>
      </c>
      <c r="B72" s="1">
        <v>41831</v>
      </c>
      <c r="C72" t="s">
        <v>191</v>
      </c>
      <c r="D72" t="str">
        <f>CONCATENATE("0040014263","")</f>
        <v>0040014263</v>
      </c>
      <c r="E72" t="str">
        <f>CONCATENATE("0060100000495       ","")</f>
        <v>0060100000495       </v>
      </c>
      <c r="F72" t="str">
        <f>CONCATENATE("605118600","")</f>
        <v>605118600</v>
      </c>
      <c r="G72" t="s">
        <v>192</v>
      </c>
      <c r="H72" t="s">
        <v>201</v>
      </c>
      <c r="I72" t="s">
        <v>202</v>
      </c>
      <c r="J72" t="str">
        <f t="shared" si="12"/>
        <v>080601</v>
      </c>
      <c r="K72" t="s">
        <v>22</v>
      </c>
      <c r="L72" t="s">
        <v>23</v>
      </c>
      <c r="M72" t="str">
        <f t="shared" si="11"/>
        <v>1</v>
      </c>
      <c r="O72" t="str">
        <f t="shared" si="10"/>
        <v>1 </v>
      </c>
      <c r="P72">
        <v>77.1</v>
      </c>
      <c r="Q72" t="s">
        <v>24</v>
      </c>
    </row>
    <row r="73" spans="1:17" ht="15">
      <c r="A73" t="s">
        <v>17</v>
      </c>
      <c r="B73" s="1">
        <v>41831</v>
      </c>
      <c r="C73" t="s">
        <v>191</v>
      </c>
      <c r="D73" t="str">
        <f>CONCATENATE("0040008617","")</f>
        <v>0040008617</v>
      </c>
      <c r="E73" t="str">
        <f>CONCATENATE("0060100000560       ","")</f>
        <v>0060100000560       </v>
      </c>
      <c r="F73" t="str">
        <f>CONCATENATE("0605291716","")</f>
        <v>0605291716</v>
      </c>
      <c r="G73" t="s">
        <v>192</v>
      </c>
      <c r="H73" t="s">
        <v>203</v>
      </c>
      <c r="I73" t="s">
        <v>204</v>
      </c>
      <c r="J73" t="str">
        <f t="shared" si="12"/>
        <v>080601</v>
      </c>
      <c r="K73" t="s">
        <v>22</v>
      </c>
      <c r="L73" t="s">
        <v>23</v>
      </c>
      <c r="M73" t="str">
        <f t="shared" si="11"/>
        <v>1</v>
      </c>
      <c r="O73" t="str">
        <f t="shared" si="10"/>
        <v>1 </v>
      </c>
      <c r="P73">
        <v>23.95</v>
      </c>
      <c r="Q73" t="s">
        <v>24</v>
      </c>
    </row>
    <row r="74" spans="1:17" ht="15">
      <c r="A74" t="s">
        <v>17</v>
      </c>
      <c r="B74" s="1">
        <v>41831</v>
      </c>
      <c r="C74" t="s">
        <v>191</v>
      </c>
      <c r="D74" t="str">
        <f>CONCATENATE("0040023338","")</f>
        <v>0040023338</v>
      </c>
      <c r="E74" t="str">
        <f>CONCATENATE("0060100000728       ","")</f>
        <v>0060100000728       </v>
      </c>
      <c r="F74" t="str">
        <f>CONCATENATE("1766548","")</f>
        <v>1766548</v>
      </c>
      <c r="G74" t="s">
        <v>192</v>
      </c>
      <c r="H74" t="s">
        <v>205</v>
      </c>
      <c r="I74" t="s">
        <v>206</v>
      </c>
      <c r="J74" t="str">
        <f t="shared" si="12"/>
        <v>080601</v>
      </c>
      <c r="K74" t="s">
        <v>22</v>
      </c>
      <c r="L74" t="s">
        <v>23</v>
      </c>
      <c r="M74" t="str">
        <f t="shared" si="11"/>
        <v>1</v>
      </c>
      <c r="O74" t="str">
        <f t="shared" si="10"/>
        <v>1 </v>
      </c>
      <c r="P74">
        <v>10.05</v>
      </c>
      <c r="Q74" t="s">
        <v>24</v>
      </c>
    </row>
    <row r="75" spans="1:17" ht="15">
      <c r="A75" t="s">
        <v>17</v>
      </c>
      <c r="B75" s="1">
        <v>41831</v>
      </c>
      <c r="C75" t="s">
        <v>191</v>
      </c>
      <c r="D75" t="str">
        <f>CONCATENATE("0040015465","")</f>
        <v>0040015465</v>
      </c>
      <c r="E75" t="str">
        <f>CONCATENATE("0060100001075       ","")</f>
        <v>0060100001075       </v>
      </c>
      <c r="F75" t="str">
        <f>CONCATENATE("00010430688","")</f>
        <v>00010430688</v>
      </c>
      <c r="G75" t="s">
        <v>207</v>
      </c>
      <c r="H75" t="s">
        <v>208</v>
      </c>
      <c r="I75" t="s">
        <v>209</v>
      </c>
      <c r="J75" t="str">
        <f t="shared" si="12"/>
        <v>080601</v>
      </c>
      <c r="K75" t="s">
        <v>22</v>
      </c>
      <c r="L75" t="s">
        <v>23</v>
      </c>
      <c r="M75" t="str">
        <f t="shared" si="11"/>
        <v>1</v>
      </c>
      <c r="O75" t="str">
        <f t="shared" si="10"/>
        <v>1 </v>
      </c>
      <c r="P75">
        <v>32.6</v>
      </c>
      <c r="Q75" t="s">
        <v>24</v>
      </c>
    </row>
    <row r="76" spans="1:17" ht="15">
      <c r="A76" t="s">
        <v>17</v>
      </c>
      <c r="B76" s="1">
        <v>41831</v>
      </c>
      <c r="C76" t="s">
        <v>191</v>
      </c>
      <c r="D76" t="str">
        <f>CONCATENATE("0040017754","")</f>
        <v>0040017754</v>
      </c>
      <c r="E76" t="str">
        <f>CONCATENATE("0060100001079       ","")</f>
        <v>0060100001079       </v>
      </c>
      <c r="F76" t="str">
        <f>CONCATENATE("605113980","")</f>
        <v>605113980</v>
      </c>
      <c r="G76" t="s">
        <v>207</v>
      </c>
      <c r="H76" t="s">
        <v>210</v>
      </c>
      <c r="I76" t="s">
        <v>211</v>
      </c>
      <c r="J76" t="str">
        <f t="shared" si="12"/>
        <v>080601</v>
      </c>
      <c r="K76" t="s">
        <v>22</v>
      </c>
      <c r="L76" t="s">
        <v>23</v>
      </c>
      <c r="M76" t="str">
        <f t="shared" si="11"/>
        <v>1</v>
      </c>
      <c r="O76" t="str">
        <f t="shared" si="10"/>
        <v>1 </v>
      </c>
      <c r="P76">
        <v>41.1</v>
      </c>
      <c r="Q76" t="s">
        <v>24</v>
      </c>
    </row>
    <row r="77" spans="1:17" ht="15">
      <c r="A77" t="s">
        <v>17</v>
      </c>
      <c r="B77" s="1">
        <v>41831</v>
      </c>
      <c r="C77" t="s">
        <v>191</v>
      </c>
      <c r="D77" t="str">
        <f>CONCATENATE("0040017730","")</f>
        <v>0040017730</v>
      </c>
      <c r="E77" t="str">
        <f>CONCATENATE("0060100002072       ","")</f>
        <v>0060100002072       </v>
      </c>
      <c r="F77" t="str">
        <f>CONCATENATE("605113555","")</f>
        <v>605113555</v>
      </c>
      <c r="G77" t="s">
        <v>207</v>
      </c>
      <c r="H77" t="s">
        <v>212</v>
      </c>
      <c r="I77" t="s">
        <v>213</v>
      </c>
      <c r="J77" t="str">
        <f t="shared" si="12"/>
        <v>080601</v>
      </c>
      <c r="K77" t="s">
        <v>22</v>
      </c>
      <c r="L77" t="s">
        <v>23</v>
      </c>
      <c r="M77" t="str">
        <f t="shared" si="11"/>
        <v>1</v>
      </c>
      <c r="O77" t="str">
        <f t="shared" si="10"/>
        <v>1 </v>
      </c>
      <c r="P77">
        <v>112.25</v>
      </c>
      <c r="Q77" t="s">
        <v>24</v>
      </c>
    </row>
    <row r="78" spans="1:17" ht="15">
      <c r="A78" t="s">
        <v>17</v>
      </c>
      <c r="B78" s="1">
        <v>41831</v>
      </c>
      <c r="C78" t="s">
        <v>191</v>
      </c>
      <c r="D78" t="str">
        <f>CONCATENATE("0040012186","")</f>
        <v>0040012186</v>
      </c>
      <c r="E78" t="str">
        <f>CONCATENATE("0060100004000       ","")</f>
        <v>0060100004000       </v>
      </c>
      <c r="F78" t="str">
        <f>CONCATENATE("01082763","")</f>
        <v>01082763</v>
      </c>
      <c r="G78" t="s">
        <v>207</v>
      </c>
      <c r="H78" t="s">
        <v>214</v>
      </c>
      <c r="I78" t="s">
        <v>215</v>
      </c>
      <c r="J78" t="str">
        <f t="shared" si="12"/>
        <v>080601</v>
      </c>
      <c r="K78" t="s">
        <v>22</v>
      </c>
      <c r="L78" t="s">
        <v>23</v>
      </c>
      <c r="M78" t="str">
        <f t="shared" si="11"/>
        <v>1</v>
      </c>
      <c r="O78" t="str">
        <f t="shared" si="10"/>
        <v>1 </v>
      </c>
      <c r="P78">
        <v>62.8</v>
      </c>
      <c r="Q78" t="s">
        <v>24</v>
      </c>
    </row>
    <row r="79" spans="1:17" ht="15">
      <c r="A79" t="s">
        <v>17</v>
      </c>
      <c r="B79" s="1">
        <v>41831</v>
      </c>
      <c r="C79" t="s">
        <v>191</v>
      </c>
      <c r="D79" t="str">
        <f>CONCATENATE("0040018465","")</f>
        <v>0040018465</v>
      </c>
      <c r="E79" t="str">
        <f>CONCATENATE("0060100004490       ","")</f>
        <v>0060100004490       </v>
      </c>
      <c r="F79" t="str">
        <f>CONCATENATE("605279887","")</f>
        <v>605279887</v>
      </c>
      <c r="G79" t="s">
        <v>207</v>
      </c>
      <c r="H79" t="s">
        <v>216</v>
      </c>
      <c r="I79" t="s">
        <v>217</v>
      </c>
      <c r="J79" t="str">
        <f t="shared" si="12"/>
        <v>080601</v>
      </c>
      <c r="K79" t="s">
        <v>22</v>
      </c>
      <c r="L79" t="s">
        <v>23</v>
      </c>
      <c r="M79" t="str">
        <f t="shared" si="11"/>
        <v>1</v>
      </c>
      <c r="O79" t="str">
        <f t="shared" si="10"/>
        <v>1 </v>
      </c>
      <c r="P79">
        <v>199.35</v>
      </c>
      <c r="Q79" t="s">
        <v>24</v>
      </c>
    </row>
    <row r="80" spans="1:17" ht="15">
      <c r="A80" t="s">
        <v>17</v>
      </c>
      <c r="B80" s="1">
        <v>41831</v>
      </c>
      <c r="C80" t="s">
        <v>191</v>
      </c>
      <c r="D80" t="str">
        <f>CONCATENATE("0040014451","")</f>
        <v>0040014451</v>
      </c>
      <c r="E80" t="str">
        <f>CONCATENATE("0060100004510       ","")</f>
        <v>0060100004510       </v>
      </c>
      <c r="F80" t="str">
        <f>CONCATENATE("10432486","")</f>
        <v>10432486</v>
      </c>
      <c r="G80" t="s">
        <v>207</v>
      </c>
      <c r="H80" t="s">
        <v>218</v>
      </c>
      <c r="I80" t="s">
        <v>219</v>
      </c>
      <c r="J80" t="str">
        <f t="shared" si="12"/>
        <v>080601</v>
      </c>
      <c r="K80" t="s">
        <v>22</v>
      </c>
      <c r="L80" t="s">
        <v>23</v>
      </c>
      <c r="M80" t="str">
        <f t="shared" si="11"/>
        <v>1</v>
      </c>
      <c r="O80" t="str">
        <f t="shared" si="10"/>
        <v>1 </v>
      </c>
      <c r="P80">
        <v>66</v>
      </c>
      <c r="Q80" t="s">
        <v>24</v>
      </c>
    </row>
    <row r="81" spans="1:17" ht="15">
      <c r="A81" t="s">
        <v>17</v>
      </c>
      <c r="B81" s="1">
        <v>41831</v>
      </c>
      <c r="C81" t="s">
        <v>191</v>
      </c>
      <c r="D81" t="str">
        <f>CONCATENATE("0040016158","")</f>
        <v>0040016158</v>
      </c>
      <c r="E81" t="str">
        <f>CONCATENATE("0060100004890       ","")</f>
        <v>0060100004890       </v>
      </c>
      <c r="F81" t="str">
        <f>CONCATENATE("606589719","")</f>
        <v>606589719</v>
      </c>
      <c r="G81" t="s">
        <v>207</v>
      </c>
      <c r="H81" t="s">
        <v>220</v>
      </c>
      <c r="I81" t="s">
        <v>221</v>
      </c>
      <c r="J81" t="str">
        <f t="shared" si="12"/>
        <v>080601</v>
      </c>
      <c r="K81" t="s">
        <v>22</v>
      </c>
      <c r="L81" t="s">
        <v>23</v>
      </c>
      <c r="M81" t="str">
        <f t="shared" si="11"/>
        <v>1</v>
      </c>
      <c r="O81" t="str">
        <f t="shared" si="10"/>
        <v>1 </v>
      </c>
      <c r="P81">
        <v>133.7</v>
      </c>
      <c r="Q81" t="s">
        <v>24</v>
      </c>
    </row>
    <row r="82" spans="1:17" ht="15">
      <c r="A82" t="s">
        <v>17</v>
      </c>
      <c r="B82" s="1">
        <v>41831</v>
      </c>
      <c r="C82" t="s">
        <v>191</v>
      </c>
      <c r="D82" t="str">
        <f>CONCATENATE("0040013485","")</f>
        <v>0040013485</v>
      </c>
      <c r="E82" t="str">
        <f>CONCATENATE("0060101000034       ","")</f>
        <v>0060101000034       </v>
      </c>
      <c r="F82" t="str">
        <f>CONCATENATE("01166138","")</f>
        <v>01166138</v>
      </c>
      <c r="G82" t="s">
        <v>222</v>
      </c>
      <c r="H82" t="s">
        <v>223</v>
      </c>
      <c r="I82" t="s">
        <v>224</v>
      </c>
      <c r="J82" t="str">
        <f t="shared" si="12"/>
        <v>080601</v>
      </c>
      <c r="K82" t="s">
        <v>22</v>
      </c>
      <c r="L82" t="s">
        <v>23</v>
      </c>
      <c r="M82" t="str">
        <f t="shared" si="11"/>
        <v>1</v>
      </c>
      <c r="O82" t="str">
        <f t="shared" si="10"/>
        <v>1 </v>
      </c>
      <c r="P82">
        <v>19.8</v>
      </c>
      <c r="Q82" t="s">
        <v>24</v>
      </c>
    </row>
    <row r="83" spans="1:17" ht="15">
      <c r="A83" t="s">
        <v>17</v>
      </c>
      <c r="B83" s="1">
        <v>41831</v>
      </c>
      <c r="C83" t="s">
        <v>191</v>
      </c>
      <c r="D83" t="str">
        <f>CONCATENATE("0040013484","")</f>
        <v>0040013484</v>
      </c>
      <c r="E83" t="str">
        <f>CONCATENATE("0060101000035       ","")</f>
        <v>0060101000035       </v>
      </c>
      <c r="F83" t="str">
        <f>CONCATENATE("01166143","")</f>
        <v>01166143</v>
      </c>
      <c r="G83" t="s">
        <v>222</v>
      </c>
      <c r="H83" t="s">
        <v>225</v>
      </c>
      <c r="I83" t="s">
        <v>224</v>
      </c>
      <c r="J83" t="str">
        <f t="shared" si="12"/>
        <v>080601</v>
      </c>
      <c r="K83" t="s">
        <v>22</v>
      </c>
      <c r="L83" t="s">
        <v>23</v>
      </c>
      <c r="M83" t="str">
        <f t="shared" si="11"/>
        <v>1</v>
      </c>
      <c r="O83" t="str">
        <f t="shared" si="10"/>
        <v>1 </v>
      </c>
      <c r="P83">
        <v>65.2</v>
      </c>
      <c r="Q83" t="s">
        <v>24</v>
      </c>
    </row>
    <row r="84" spans="1:17" ht="15">
      <c r="A84" t="s">
        <v>17</v>
      </c>
      <c r="B84" s="1">
        <v>41831</v>
      </c>
      <c r="C84" t="s">
        <v>191</v>
      </c>
      <c r="D84" t="str">
        <f>CONCATENATE("0040012969","")</f>
        <v>0040012969</v>
      </c>
      <c r="E84" t="str">
        <f>CONCATENATE("0060101000785       ","")</f>
        <v>0060101000785       </v>
      </c>
      <c r="F84" t="str">
        <f>CONCATENATE("2121325","")</f>
        <v>2121325</v>
      </c>
      <c r="G84" t="s">
        <v>226</v>
      </c>
      <c r="H84" t="s">
        <v>227</v>
      </c>
      <c r="I84" t="str">
        <f>CONCATENATE("2-DE-MAYO-401","")</f>
        <v>2-DE-MAYO-401</v>
      </c>
      <c r="J84" t="str">
        <f t="shared" si="12"/>
        <v>080601</v>
      </c>
      <c r="K84" t="s">
        <v>22</v>
      </c>
      <c r="L84" t="s">
        <v>23</v>
      </c>
      <c r="M84" t="str">
        <f t="shared" si="11"/>
        <v>1</v>
      </c>
      <c r="O84" t="str">
        <f t="shared" si="10"/>
        <v>1 </v>
      </c>
      <c r="P84">
        <v>89.85</v>
      </c>
      <c r="Q84" t="s">
        <v>24</v>
      </c>
    </row>
    <row r="85" spans="1:17" ht="15">
      <c r="A85" t="s">
        <v>17</v>
      </c>
      <c r="B85" s="1">
        <v>41831</v>
      </c>
      <c r="C85" t="s">
        <v>191</v>
      </c>
      <c r="D85" t="str">
        <f>CONCATENATE("0040012297","")</f>
        <v>0040012297</v>
      </c>
      <c r="E85" t="str">
        <f>CONCATENATE("0060101000804       ","")</f>
        <v>0060101000804       </v>
      </c>
      <c r="F85" t="str">
        <f>CONCATENATE("2121321","")</f>
        <v>2121321</v>
      </c>
      <c r="G85" t="s">
        <v>226</v>
      </c>
      <c r="H85" t="s">
        <v>228</v>
      </c>
      <c r="I85" t="s">
        <v>229</v>
      </c>
      <c r="J85" t="str">
        <f t="shared" si="12"/>
        <v>080601</v>
      </c>
      <c r="K85" t="s">
        <v>22</v>
      </c>
      <c r="L85" t="s">
        <v>23</v>
      </c>
      <c r="M85" t="str">
        <f t="shared" si="11"/>
        <v>1</v>
      </c>
      <c r="O85" t="str">
        <f t="shared" si="10"/>
        <v>1 </v>
      </c>
      <c r="P85">
        <v>220.5</v>
      </c>
      <c r="Q85" t="s">
        <v>24</v>
      </c>
    </row>
    <row r="86" spans="1:17" ht="15">
      <c r="A86" t="s">
        <v>17</v>
      </c>
      <c r="B86" s="1">
        <v>41831</v>
      </c>
      <c r="C86" t="s">
        <v>191</v>
      </c>
      <c r="D86" t="str">
        <f>CONCATENATE("0040008912","")</f>
        <v>0040008912</v>
      </c>
      <c r="E86" t="str">
        <f>CONCATENATE("0060101001335       ","")</f>
        <v>0060101001335       </v>
      </c>
      <c r="F86" t="str">
        <f>CONCATENATE("606596213","")</f>
        <v>606596213</v>
      </c>
      <c r="G86" t="s">
        <v>230</v>
      </c>
      <c r="H86" t="s">
        <v>231</v>
      </c>
      <c r="I86" t="s">
        <v>232</v>
      </c>
      <c r="J86" t="str">
        <f t="shared" si="12"/>
        <v>080601</v>
      </c>
      <c r="K86" t="s">
        <v>22</v>
      </c>
      <c r="L86" t="s">
        <v>23</v>
      </c>
      <c r="M86" t="str">
        <f t="shared" si="11"/>
        <v>1</v>
      </c>
      <c r="O86" t="str">
        <f t="shared" si="10"/>
        <v>1 </v>
      </c>
      <c r="P86">
        <v>102.15</v>
      </c>
      <c r="Q86" t="s">
        <v>24</v>
      </c>
    </row>
    <row r="87" spans="1:17" ht="15">
      <c r="A87" t="s">
        <v>17</v>
      </c>
      <c r="B87" s="1">
        <v>41831</v>
      </c>
      <c r="C87" t="s">
        <v>191</v>
      </c>
      <c r="D87" t="str">
        <f>CONCATENATE("0040009615","")</f>
        <v>0040009615</v>
      </c>
      <c r="E87" t="str">
        <f>CONCATENATE("0060101001420       ","")</f>
        <v>0060101001420       </v>
      </c>
      <c r="F87" t="str">
        <f>CONCATENATE("0606672951","")</f>
        <v>0606672951</v>
      </c>
      <c r="G87" t="s">
        <v>233</v>
      </c>
      <c r="H87" t="s">
        <v>234</v>
      </c>
      <c r="I87" t="str">
        <f>CONCATENATE("2-DE-MAYO-752","")</f>
        <v>2-DE-MAYO-752</v>
      </c>
      <c r="J87" t="str">
        <f t="shared" si="12"/>
        <v>080601</v>
      </c>
      <c r="K87" t="s">
        <v>22</v>
      </c>
      <c r="L87" t="s">
        <v>23</v>
      </c>
      <c r="M87" t="str">
        <f t="shared" si="11"/>
        <v>1</v>
      </c>
      <c r="O87" t="str">
        <f t="shared" si="10"/>
        <v>1 </v>
      </c>
      <c r="P87">
        <v>144.15</v>
      </c>
      <c r="Q87" t="s">
        <v>24</v>
      </c>
    </row>
    <row r="88" spans="1:17" ht="15">
      <c r="A88" t="s">
        <v>17</v>
      </c>
      <c r="B88" s="1">
        <v>41831</v>
      </c>
      <c r="C88" t="s">
        <v>191</v>
      </c>
      <c r="D88" t="str">
        <f>CONCATENATE("0040000588","")</f>
        <v>0040000588</v>
      </c>
      <c r="E88" t="str">
        <f>CONCATENATE("0060101001770       ","")</f>
        <v>0060101001770       </v>
      </c>
      <c r="F88" t="str">
        <f>CONCATENATE("605353969","")</f>
        <v>605353969</v>
      </c>
      <c r="G88" t="s">
        <v>235</v>
      </c>
      <c r="H88" t="s">
        <v>236</v>
      </c>
      <c r="I88" t="s">
        <v>237</v>
      </c>
      <c r="J88" t="str">
        <f t="shared" si="12"/>
        <v>080601</v>
      </c>
      <c r="K88" t="s">
        <v>22</v>
      </c>
      <c r="L88" t="s">
        <v>23</v>
      </c>
      <c r="M88" t="str">
        <f t="shared" si="11"/>
        <v>1</v>
      </c>
      <c r="O88" t="str">
        <f t="shared" si="10"/>
        <v>1 </v>
      </c>
      <c r="P88">
        <v>111.05</v>
      </c>
      <c r="Q88" t="s">
        <v>24</v>
      </c>
    </row>
    <row r="89" spans="1:17" ht="15">
      <c r="A89" t="s">
        <v>17</v>
      </c>
      <c r="B89" s="1">
        <v>41831</v>
      </c>
      <c r="C89" t="s">
        <v>191</v>
      </c>
      <c r="D89" t="str">
        <f>CONCATENATE("0040000592","")</f>
        <v>0040000592</v>
      </c>
      <c r="E89" t="str">
        <f>CONCATENATE("0060101001820       ","")</f>
        <v>0060101001820       </v>
      </c>
      <c r="F89" t="str">
        <f>CONCATENATE("1257095","")</f>
        <v>1257095</v>
      </c>
      <c r="G89" t="s">
        <v>235</v>
      </c>
      <c r="H89" t="s">
        <v>238</v>
      </c>
      <c r="I89" t="s">
        <v>239</v>
      </c>
      <c r="J89" t="str">
        <f t="shared" si="12"/>
        <v>080601</v>
      </c>
      <c r="K89" t="s">
        <v>22</v>
      </c>
      <c r="L89" t="s">
        <v>23</v>
      </c>
      <c r="M89" t="str">
        <f>CONCATENATE("3","")</f>
        <v>3</v>
      </c>
      <c r="O89" t="str">
        <f t="shared" si="10"/>
        <v>1 </v>
      </c>
      <c r="P89">
        <v>296.55</v>
      </c>
      <c r="Q89" t="s">
        <v>24</v>
      </c>
    </row>
    <row r="90" spans="1:17" ht="15">
      <c r="A90" t="s">
        <v>17</v>
      </c>
      <c r="B90" s="1">
        <v>41831</v>
      </c>
      <c r="C90" t="s">
        <v>191</v>
      </c>
      <c r="D90" t="str">
        <f>CONCATENATE("0040000614","")</f>
        <v>0040000614</v>
      </c>
      <c r="E90" t="str">
        <f>CONCATENATE("0060101002030       ","")</f>
        <v>0060101002030       </v>
      </c>
      <c r="F90" t="str">
        <f>CONCATENATE("00000293717","")</f>
        <v>00000293717</v>
      </c>
      <c r="G90" t="s">
        <v>240</v>
      </c>
      <c r="H90" t="s">
        <v>241</v>
      </c>
      <c r="I90" t="s">
        <v>242</v>
      </c>
      <c r="J90" t="str">
        <f t="shared" si="12"/>
        <v>080601</v>
      </c>
      <c r="K90" t="s">
        <v>22</v>
      </c>
      <c r="L90" t="s">
        <v>23</v>
      </c>
      <c r="M90" t="str">
        <f aca="true" t="shared" si="13" ref="M90:M134">CONCATENATE("1","")</f>
        <v>1</v>
      </c>
      <c r="O90" t="str">
        <f t="shared" si="10"/>
        <v>1 </v>
      </c>
      <c r="P90">
        <v>89.75</v>
      </c>
      <c r="Q90" t="s">
        <v>24</v>
      </c>
    </row>
    <row r="91" spans="1:17" ht="15">
      <c r="A91" t="s">
        <v>17</v>
      </c>
      <c r="B91" s="1">
        <v>41831</v>
      </c>
      <c r="C91" t="s">
        <v>191</v>
      </c>
      <c r="D91" t="str">
        <f>CONCATENATE("0040013520","")</f>
        <v>0040013520</v>
      </c>
      <c r="E91" t="str">
        <f>CONCATENATE("0060101002031       ","")</f>
        <v>0060101002031       </v>
      </c>
      <c r="F91" t="str">
        <f>CONCATENATE("605055956","")</f>
        <v>605055956</v>
      </c>
      <c r="G91" t="s">
        <v>240</v>
      </c>
      <c r="H91" t="s">
        <v>243</v>
      </c>
      <c r="I91" t="s">
        <v>244</v>
      </c>
      <c r="J91" t="str">
        <f t="shared" si="12"/>
        <v>080601</v>
      </c>
      <c r="K91" t="s">
        <v>22</v>
      </c>
      <c r="L91" t="s">
        <v>23</v>
      </c>
      <c r="M91" t="str">
        <f t="shared" si="13"/>
        <v>1</v>
      </c>
      <c r="O91" t="str">
        <f t="shared" si="10"/>
        <v>1 </v>
      </c>
      <c r="P91">
        <v>158.75</v>
      </c>
      <c r="Q91" t="s">
        <v>24</v>
      </c>
    </row>
    <row r="92" spans="1:17" ht="15">
      <c r="A92" t="s">
        <v>17</v>
      </c>
      <c r="B92" s="1">
        <v>41831</v>
      </c>
      <c r="C92" t="s">
        <v>191</v>
      </c>
      <c r="D92" t="str">
        <f>CONCATENATE("0040023455","")</f>
        <v>0040023455</v>
      </c>
      <c r="E92" t="str">
        <f>CONCATENATE("0060101002048       ","")</f>
        <v>0060101002048       </v>
      </c>
      <c r="F92" t="str">
        <f>CONCATENATE("1604687","")</f>
        <v>1604687</v>
      </c>
      <c r="G92" t="s">
        <v>240</v>
      </c>
      <c r="H92" t="s">
        <v>245</v>
      </c>
      <c r="I92" t="s">
        <v>246</v>
      </c>
      <c r="J92" t="str">
        <f t="shared" si="12"/>
        <v>080601</v>
      </c>
      <c r="K92" t="s">
        <v>22</v>
      </c>
      <c r="L92" t="s">
        <v>23</v>
      </c>
      <c r="M92" t="str">
        <f t="shared" si="13"/>
        <v>1</v>
      </c>
      <c r="O92" t="str">
        <f t="shared" si="10"/>
        <v>1 </v>
      </c>
      <c r="P92">
        <v>13.9</v>
      </c>
      <c r="Q92" t="s">
        <v>24</v>
      </c>
    </row>
    <row r="93" spans="1:17" ht="15">
      <c r="A93" t="s">
        <v>17</v>
      </c>
      <c r="B93" s="1">
        <v>41831</v>
      </c>
      <c r="C93" t="s">
        <v>191</v>
      </c>
      <c r="D93" t="str">
        <f>CONCATENATE("0040013956","")</f>
        <v>0040013956</v>
      </c>
      <c r="E93" t="str">
        <f>CONCATENATE("0060101002476       ","")</f>
        <v>0060101002476       </v>
      </c>
      <c r="F93" t="str">
        <f>CONCATENATE("606031077","")</f>
        <v>606031077</v>
      </c>
      <c r="G93" t="s">
        <v>247</v>
      </c>
      <c r="H93" t="s">
        <v>248</v>
      </c>
      <c r="I93" t="s">
        <v>249</v>
      </c>
      <c r="J93" t="str">
        <f t="shared" si="12"/>
        <v>080601</v>
      </c>
      <c r="K93" t="s">
        <v>22</v>
      </c>
      <c r="L93" t="s">
        <v>23</v>
      </c>
      <c r="M93" t="str">
        <f t="shared" si="13"/>
        <v>1</v>
      </c>
      <c r="O93" t="str">
        <f t="shared" si="10"/>
        <v>1 </v>
      </c>
      <c r="P93">
        <v>155.2</v>
      </c>
      <c r="Q93" t="s">
        <v>24</v>
      </c>
    </row>
    <row r="94" spans="1:17" ht="15">
      <c r="A94" t="s">
        <v>17</v>
      </c>
      <c r="B94" s="1">
        <v>41831</v>
      </c>
      <c r="C94" t="s">
        <v>191</v>
      </c>
      <c r="D94" t="str">
        <f>CONCATENATE("0040023321","")</f>
        <v>0040023321</v>
      </c>
      <c r="E94" t="str">
        <f>CONCATENATE("0060101002826       ","")</f>
        <v>0060101002826       </v>
      </c>
      <c r="F94" t="str">
        <f>CONCATENATE("1763856","")</f>
        <v>1763856</v>
      </c>
      <c r="G94" t="s">
        <v>247</v>
      </c>
      <c r="H94" t="s">
        <v>250</v>
      </c>
      <c r="I94" t="s">
        <v>251</v>
      </c>
      <c r="J94" t="str">
        <f t="shared" si="12"/>
        <v>080601</v>
      </c>
      <c r="K94" t="s">
        <v>22</v>
      </c>
      <c r="L94" t="s">
        <v>23</v>
      </c>
      <c r="M94" t="str">
        <f t="shared" si="13"/>
        <v>1</v>
      </c>
      <c r="O94" t="str">
        <f t="shared" si="10"/>
        <v>1 </v>
      </c>
      <c r="P94">
        <v>654.45</v>
      </c>
      <c r="Q94" t="s">
        <v>24</v>
      </c>
    </row>
    <row r="95" spans="1:17" ht="15">
      <c r="A95" t="s">
        <v>17</v>
      </c>
      <c r="B95" s="1">
        <v>41831</v>
      </c>
      <c r="C95" t="s">
        <v>191</v>
      </c>
      <c r="D95" t="str">
        <f>CONCATENATE("0040000713","")</f>
        <v>0040000713</v>
      </c>
      <c r="E95" t="str">
        <f>CONCATENATE("0060101002980       ","")</f>
        <v>0060101002980       </v>
      </c>
      <c r="F95" t="str">
        <f>CONCATENATE("605554547","")</f>
        <v>605554547</v>
      </c>
      <c r="G95" t="s">
        <v>252</v>
      </c>
      <c r="H95" t="s">
        <v>253</v>
      </c>
      <c r="I95" t="s">
        <v>254</v>
      </c>
      <c r="J95" t="str">
        <f t="shared" si="12"/>
        <v>080601</v>
      </c>
      <c r="K95" t="s">
        <v>22</v>
      </c>
      <c r="L95" t="s">
        <v>23</v>
      </c>
      <c r="M95" t="str">
        <f t="shared" si="13"/>
        <v>1</v>
      </c>
      <c r="O95" t="str">
        <f t="shared" si="10"/>
        <v>1 </v>
      </c>
      <c r="P95">
        <v>78.9</v>
      </c>
      <c r="Q95" t="s">
        <v>24</v>
      </c>
    </row>
    <row r="96" spans="1:17" ht="15">
      <c r="A96" t="s">
        <v>17</v>
      </c>
      <c r="B96" s="1">
        <v>41831</v>
      </c>
      <c r="C96" t="s">
        <v>191</v>
      </c>
      <c r="D96" t="str">
        <f>CONCATENATE("0040000738","")</f>
        <v>0040000738</v>
      </c>
      <c r="E96" t="str">
        <f>CONCATENATE("0060101003212       ","")</f>
        <v>0060101003212       </v>
      </c>
      <c r="F96" t="str">
        <f>CONCATENATE("605056760","")</f>
        <v>605056760</v>
      </c>
      <c r="G96" t="s">
        <v>252</v>
      </c>
      <c r="H96" t="s">
        <v>255</v>
      </c>
      <c r="I96" t="s">
        <v>256</v>
      </c>
      <c r="J96" t="str">
        <f t="shared" si="12"/>
        <v>080601</v>
      </c>
      <c r="K96" t="s">
        <v>22</v>
      </c>
      <c r="L96" t="s">
        <v>23</v>
      </c>
      <c r="M96" t="str">
        <f t="shared" si="13"/>
        <v>1</v>
      </c>
      <c r="O96" t="str">
        <f t="shared" si="10"/>
        <v>1 </v>
      </c>
      <c r="P96">
        <v>149.25</v>
      </c>
      <c r="Q96" t="s">
        <v>24</v>
      </c>
    </row>
    <row r="97" spans="1:17" ht="15">
      <c r="A97" t="s">
        <v>17</v>
      </c>
      <c r="B97" s="1">
        <v>41831</v>
      </c>
      <c r="C97" t="s">
        <v>191</v>
      </c>
      <c r="D97" t="str">
        <f>CONCATENATE("0040000742","")</f>
        <v>0040000742</v>
      </c>
      <c r="E97" t="str">
        <f>CONCATENATE("0060101003216       ","")</f>
        <v>0060101003216       </v>
      </c>
      <c r="F97" t="str">
        <f>CONCATENATE("605055885","")</f>
        <v>605055885</v>
      </c>
      <c r="G97" t="s">
        <v>252</v>
      </c>
      <c r="H97" t="s">
        <v>257</v>
      </c>
      <c r="I97" t="s">
        <v>258</v>
      </c>
      <c r="J97" t="str">
        <f t="shared" si="12"/>
        <v>080601</v>
      </c>
      <c r="K97" t="s">
        <v>22</v>
      </c>
      <c r="L97" t="s">
        <v>23</v>
      </c>
      <c r="M97" t="str">
        <f t="shared" si="13"/>
        <v>1</v>
      </c>
      <c r="O97" t="str">
        <f>CONCATENATE("2 ","")</f>
        <v>2 </v>
      </c>
      <c r="P97">
        <v>369.35</v>
      </c>
      <c r="Q97" t="s">
        <v>24</v>
      </c>
    </row>
    <row r="98" spans="1:17" ht="15">
      <c r="A98" t="s">
        <v>17</v>
      </c>
      <c r="B98" s="1">
        <v>41831</v>
      </c>
      <c r="C98" t="s">
        <v>191</v>
      </c>
      <c r="D98" t="str">
        <f>CONCATENATE("0040012574","")</f>
        <v>0040012574</v>
      </c>
      <c r="E98" t="str">
        <f>CONCATENATE("0060101003236       ","")</f>
        <v>0060101003236       </v>
      </c>
      <c r="F98" t="str">
        <f>CONCATENATE("605554412","")</f>
        <v>605554412</v>
      </c>
      <c r="G98" t="s">
        <v>252</v>
      </c>
      <c r="H98" t="s">
        <v>259</v>
      </c>
      <c r="I98" t="s">
        <v>260</v>
      </c>
      <c r="J98" t="str">
        <f t="shared" si="12"/>
        <v>080601</v>
      </c>
      <c r="K98" t="s">
        <v>22</v>
      </c>
      <c r="L98" t="s">
        <v>23</v>
      </c>
      <c r="M98" t="str">
        <f t="shared" si="13"/>
        <v>1</v>
      </c>
      <c r="O98" t="str">
        <f aca="true" t="shared" si="14" ref="O98:O118">CONCATENATE("1 ","")</f>
        <v>1 </v>
      </c>
      <c r="P98">
        <v>58.2</v>
      </c>
      <c r="Q98" t="s">
        <v>24</v>
      </c>
    </row>
    <row r="99" spans="1:17" ht="15">
      <c r="A99" t="s">
        <v>17</v>
      </c>
      <c r="B99" s="1">
        <v>41831</v>
      </c>
      <c r="C99" t="s">
        <v>191</v>
      </c>
      <c r="D99" t="str">
        <f>CONCATENATE("0040000754","")</f>
        <v>0040000754</v>
      </c>
      <c r="E99" t="str">
        <f>CONCATENATE("0060101003245       ","")</f>
        <v>0060101003245       </v>
      </c>
      <c r="F99" t="str">
        <f>CONCATENATE("1672465","")</f>
        <v>1672465</v>
      </c>
      <c r="G99" t="s">
        <v>247</v>
      </c>
      <c r="H99" t="s">
        <v>261</v>
      </c>
      <c r="I99" t="s">
        <v>262</v>
      </c>
      <c r="J99" t="str">
        <f t="shared" si="12"/>
        <v>080601</v>
      </c>
      <c r="K99" t="s">
        <v>22</v>
      </c>
      <c r="L99" t="s">
        <v>23</v>
      </c>
      <c r="M99" t="str">
        <f t="shared" si="13"/>
        <v>1</v>
      </c>
      <c r="O99" t="str">
        <f t="shared" si="14"/>
        <v>1 </v>
      </c>
      <c r="P99">
        <v>56.1</v>
      </c>
      <c r="Q99" t="s">
        <v>24</v>
      </c>
    </row>
    <row r="100" spans="1:17" ht="15">
      <c r="A100" t="s">
        <v>17</v>
      </c>
      <c r="B100" s="1">
        <v>41831</v>
      </c>
      <c r="C100" t="s">
        <v>191</v>
      </c>
      <c r="D100" t="str">
        <f>CONCATENATE("0040014307","")</f>
        <v>0040014307</v>
      </c>
      <c r="E100" t="str">
        <f>CONCATENATE("0060101003337       ","")</f>
        <v>0060101003337       </v>
      </c>
      <c r="F100" t="str">
        <f>CONCATENATE("605554423","")</f>
        <v>605554423</v>
      </c>
      <c r="G100" t="s">
        <v>192</v>
      </c>
      <c r="H100" t="s">
        <v>263</v>
      </c>
      <c r="I100" t="s">
        <v>264</v>
      </c>
      <c r="J100" t="str">
        <f t="shared" si="12"/>
        <v>080601</v>
      </c>
      <c r="K100" t="s">
        <v>22</v>
      </c>
      <c r="L100" t="s">
        <v>23</v>
      </c>
      <c r="M100" t="str">
        <f t="shared" si="13"/>
        <v>1</v>
      </c>
      <c r="O100" t="str">
        <f t="shared" si="14"/>
        <v>1 </v>
      </c>
      <c r="P100">
        <v>111.4</v>
      </c>
      <c r="Q100" t="s">
        <v>24</v>
      </c>
    </row>
    <row r="101" spans="1:17" ht="15">
      <c r="A101" t="s">
        <v>17</v>
      </c>
      <c r="B101" s="1">
        <v>41831</v>
      </c>
      <c r="C101" t="s">
        <v>191</v>
      </c>
      <c r="D101" t="str">
        <f>CONCATENATE("0040013095","")</f>
        <v>0040013095</v>
      </c>
      <c r="E101" t="str">
        <f>CONCATENATE("0060101003349       ","")</f>
        <v>0060101003349       </v>
      </c>
      <c r="F101" t="str">
        <f>CONCATENATE("05414420","")</f>
        <v>05414420</v>
      </c>
      <c r="G101" t="s">
        <v>247</v>
      </c>
      <c r="H101" t="s">
        <v>265</v>
      </c>
      <c r="I101" t="s">
        <v>266</v>
      </c>
      <c r="J101" t="str">
        <f t="shared" si="12"/>
        <v>080601</v>
      </c>
      <c r="K101" t="s">
        <v>22</v>
      </c>
      <c r="L101" t="s">
        <v>23</v>
      </c>
      <c r="M101" t="str">
        <f t="shared" si="13"/>
        <v>1</v>
      </c>
      <c r="O101" t="str">
        <f t="shared" si="14"/>
        <v>1 </v>
      </c>
      <c r="P101">
        <v>15.25</v>
      </c>
      <c r="Q101" t="s">
        <v>24</v>
      </c>
    </row>
    <row r="102" spans="1:17" ht="15">
      <c r="A102" t="s">
        <v>17</v>
      </c>
      <c r="B102" s="1">
        <v>41831</v>
      </c>
      <c r="C102" t="s">
        <v>191</v>
      </c>
      <c r="D102" t="str">
        <f>CONCATENATE("0040009520","")</f>
        <v>0040009520</v>
      </c>
      <c r="E102" t="str">
        <f>CONCATENATE("0060101003355       ","")</f>
        <v>0060101003355       </v>
      </c>
      <c r="F102" t="str">
        <f>CONCATENATE("0606669527","")</f>
        <v>0606669527</v>
      </c>
      <c r="G102" t="s">
        <v>247</v>
      </c>
      <c r="H102" t="s">
        <v>267</v>
      </c>
      <c r="I102" t="s">
        <v>268</v>
      </c>
      <c r="J102" t="str">
        <f t="shared" si="12"/>
        <v>080601</v>
      </c>
      <c r="K102" t="s">
        <v>22</v>
      </c>
      <c r="L102" t="s">
        <v>23</v>
      </c>
      <c r="M102" t="str">
        <f t="shared" si="13"/>
        <v>1</v>
      </c>
      <c r="O102" t="str">
        <f t="shared" si="14"/>
        <v>1 </v>
      </c>
      <c r="P102">
        <v>109</v>
      </c>
      <c r="Q102" t="s">
        <v>24</v>
      </c>
    </row>
    <row r="103" spans="1:17" ht="15">
      <c r="A103" t="s">
        <v>17</v>
      </c>
      <c r="B103" s="1">
        <v>41831</v>
      </c>
      <c r="C103" t="s">
        <v>191</v>
      </c>
      <c r="D103" t="str">
        <f>CONCATENATE("0040031233","")</f>
        <v>0040031233</v>
      </c>
      <c r="E103" t="str">
        <f>CONCATENATE("0060101004107       ","")</f>
        <v>0060101004107       </v>
      </c>
      <c r="F103" t="str">
        <f>CONCATENATE("606603190","")</f>
        <v>606603190</v>
      </c>
      <c r="G103" t="s">
        <v>252</v>
      </c>
      <c r="H103" t="s">
        <v>269</v>
      </c>
      <c r="I103" t="s">
        <v>270</v>
      </c>
      <c r="J103" t="str">
        <f t="shared" si="12"/>
        <v>080601</v>
      </c>
      <c r="K103" t="s">
        <v>22</v>
      </c>
      <c r="L103" t="s">
        <v>23</v>
      </c>
      <c r="M103" t="str">
        <f t="shared" si="13"/>
        <v>1</v>
      </c>
      <c r="O103" t="str">
        <f t="shared" si="14"/>
        <v>1 </v>
      </c>
      <c r="P103">
        <v>87.15</v>
      </c>
      <c r="Q103" t="s">
        <v>24</v>
      </c>
    </row>
    <row r="104" spans="1:17" ht="15">
      <c r="A104" t="s">
        <v>17</v>
      </c>
      <c r="B104" s="1">
        <v>41831</v>
      </c>
      <c r="C104" t="s">
        <v>191</v>
      </c>
      <c r="D104" t="str">
        <f>CONCATENATE("0040007625","")</f>
        <v>0040007625</v>
      </c>
      <c r="E104" t="str">
        <f>CONCATENATE("0060101006100       ","")</f>
        <v>0060101006100       </v>
      </c>
      <c r="F104" t="str">
        <f>CONCATENATE("605057441","")</f>
        <v>605057441</v>
      </c>
      <c r="G104" t="s">
        <v>252</v>
      </c>
      <c r="H104" t="s">
        <v>271</v>
      </c>
      <c r="I104" t="s">
        <v>272</v>
      </c>
      <c r="J104" t="str">
        <f t="shared" si="12"/>
        <v>080601</v>
      </c>
      <c r="K104" t="s">
        <v>22</v>
      </c>
      <c r="L104" t="s">
        <v>23</v>
      </c>
      <c r="M104" t="str">
        <f t="shared" si="13"/>
        <v>1</v>
      </c>
      <c r="O104" t="str">
        <f t="shared" si="14"/>
        <v>1 </v>
      </c>
      <c r="P104">
        <v>236.4</v>
      </c>
      <c r="Q104" t="s">
        <v>24</v>
      </c>
    </row>
    <row r="105" spans="1:17" ht="15">
      <c r="A105" t="s">
        <v>17</v>
      </c>
      <c r="B105" s="1">
        <v>41831</v>
      </c>
      <c r="C105" t="s">
        <v>191</v>
      </c>
      <c r="D105" t="str">
        <f>CONCATENATE("0040032969","")</f>
        <v>0040032969</v>
      </c>
      <c r="E105" t="str">
        <f>CONCATENATE("0060102000014       ","")</f>
        <v>0060102000014       </v>
      </c>
      <c r="F105" t="str">
        <f>CONCATENATE("2185608","")</f>
        <v>2185608</v>
      </c>
      <c r="G105" t="s">
        <v>235</v>
      </c>
      <c r="H105" t="s">
        <v>273</v>
      </c>
      <c r="I105" t="s">
        <v>274</v>
      </c>
      <c r="J105" t="str">
        <f t="shared" si="12"/>
        <v>080601</v>
      </c>
      <c r="K105" t="s">
        <v>22</v>
      </c>
      <c r="L105" t="s">
        <v>23</v>
      </c>
      <c r="M105" t="str">
        <f t="shared" si="13"/>
        <v>1</v>
      </c>
      <c r="O105" t="str">
        <f t="shared" si="14"/>
        <v>1 </v>
      </c>
      <c r="P105">
        <v>23.6</v>
      </c>
      <c r="Q105" t="s">
        <v>24</v>
      </c>
    </row>
    <row r="106" spans="1:17" ht="15">
      <c r="A106" t="s">
        <v>17</v>
      </c>
      <c r="B106" s="1">
        <v>41831</v>
      </c>
      <c r="C106" t="s">
        <v>191</v>
      </c>
      <c r="D106" t="str">
        <f>CONCATENATE("0040028417","")</f>
        <v>0040028417</v>
      </c>
      <c r="E106" t="str">
        <f>CONCATENATE("0060102000048       ","")</f>
        <v>0060102000048       </v>
      </c>
      <c r="F106" t="str">
        <f>CONCATENATE("2128293","")</f>
        <v>2128293</v>
      </c>
      <c r="G106" t="s">
        <v>275</v>
      </c>
      <c r="H106" t="s">
        <v>276</v>
      </c>
      <c r="I106" t="s">
        <v>277</v>
      </c>
      <c r="J106" t="str">
        <f t="shared" si="12"/>
        <v>080601</v>
      </c>
      <c r="K106" t="s">
        <v>22</v>
      </c>
      <c r="L106" t="s">
        <v>23</v>
      </c>
      <c r="M106" t="str">
        <f t="shared" si="13"/>
        <v>1</v>
      </c>
      <c r="O106" t="str">
        <f t="shared" si="14"/>
        <v>1 </v>
      </c>
      <c r="P106">
        <v>82.35</v>
      </c>
      <c r="Q106" t="s">
        <v>24</v>
      </c>
    </row>
    <row r="107" spans="1:17" ht="15">
      <c r="A107" t="s">
        <v>17</v>
      </c>
      <c r="B107" s="1">
        <v>41831</v>
      </c>
      <c r="C107" t="s">
        <v>191</v>
      </c>
      <c r="D107" t="str">
        <f>CONCATENATE("0040000817","")</f>
        <v>0040000817</v>
      </c>
      <c r="E107" t="str">
        <f>CONCATENATE("0060102000546       ","")</f>
        <v>0060102000546       </v>
      </c>
      <c r="F107" t="str">
        <f>CONCATENATE("605564518","")</f>
        <v>605564518</v>
      </c>
      <c r="G107" t="s">
        <v>278</v>
      </c>
      <c r="H107" t="s">
        <v>279</v>
      </c>
      <c r="I107" t="s">
        <v>280</v>
      </c>
      <c r="J107" t="str">
        <f t="shared" si="12"/>
        <v>080601</v>
      </c>
      <c r="K107" t="s">
        <v>22</v>
      </c>
      <c r="L107" t="s">
        <v>23</v>
      </c>
      <c r="M107" t="str">
        <f t="shared" si="13"/>
        <v>1</v>
      </c>
      <c r="O107" t="str">
        <f t="shared" si="14"/>
        <v>1 </v>
      </c>
      <c r="P107">
        <v>61.45</v>
      </c>
      <c r="Q107" t="s">
        <v>24</v>
      </c>
    </row>
    <row r="108" spans="1:17" ht="15">
      <c r="A108" t="s">
        <v>17</v>
      </c>
      <c r="B108" s="1">
        <v>41831</v>
      </c>
      <c r="C108" t="s">
        <v>191</v>
      </c>
      <c r="D108" t="str">
        <f>CONCATENATE("0040000820","")</f>
        <v>0040000820</v>
      </c>
      <c r="E108" t="str">
        <f>CONCATENATE("0060102000580       ","")</f>
        <v>0060102000580       </v>
      </c>
      <c r="F108" t="str">
        <f>CONCATENATE("605347998","")</f>
        <v>605347998</v>
      </c>
      <c r="G108" t="s">
        <v>278</v>
      </c>
      <c r="H108" t="s">
        <v>281</v>
      </c>
      <c r="I108" t="s">
        <v>282</v>
      </c>
      <c r="J108" t="str">
        <f t="shared" si="12"/>
        <v>080601</v>
      </c>
      <c r="K108" t="s">
        <v>22</v>
      </c>
      <c r="L108" t="s">
        <v>23</v>
      </c>
      <c r="M108" t="str">
        <f t="shared" si="13"/>
        <v>1</v>
      </c>
      <c r="O108" t="str">
        <f t="shared" si="14"/>
        <v>1 </v>
      </c>
      <c r="P108">
        <v>19.65</v>
      </c>
      <c r="Q108" t="s">
        <v>24</v>
      </c>
    </row>
    <row r="109" spans="1:17" ht="15">
      <c r="A109" t="s">
        <v>17</v>
      </c>
      <c r="B109" s="1">
        <v>41831</v>
      </c>
      <c r="C109" t="s">
        <v>191</v>
      </c>
      <c r="D109" t="str">
        <f>CONCATENATE("0040000852","")</f>
        <v>0040000852</v>
      </c>
      <c r="E109" t="str">
        <f>CONCATENATE("0060102000970       ","")</f>
        <v>0060102000970       </v>
      </c>
      <c r="F109" t="str">
        <f>CONCATENATE("7295647","")</f>
        <v>7295647</v>
      </c>
      <c r="G109" t="s">
        <v>275</v>
      </c>
      <c r="H109" t="s">
        <v>283</v>
      </c>
      <c r="I109" t="s">
        <v>284</v>
      </c>
      <c r="J109" t="str">
        <f t="shared" si="12"/>
        <v>080601</v>
      </c>
      <c r="K109" t="s">
        <v>22</v>
      </c>
      <c r="L109" t="s">
        <v>23</v>
      </c>
      <c r="M109" t="str">
        <f t="shared" si="13"/>
        <v>1</v>
      </c>
      <c r="O109" t="str">
        <f t="shared" si="14"/>
        <v>1 </v>
      </c>
      <c r="P109">
        <v>193.05</v>
      </c>
      <c r="Q109" t="s">
        <v>24</v>
      </c>
    </row>
    <row r="110" spans="1:17" ht="15">
      <c r="A110" t="s">
        <v>17</v>
      </c>
      <c r="B110" s="1">
        <v>41831</v>
      </c>
      <c r="C110" t="s">
        <v>191</v>
      </c>
      <c r="D110" t="str">
        <f>CONCATENATE("0040009452","")</f>
        <v>0040009452</v>
      </c>
      <c r="E110" t="str">
        <f>CONCATENATE("0060102001060       ","")</f>
        <v>0060102001060       </v>
      </c>
      <c r="F110" t="str">
        <f>CONCATENATE("2125546","")</f>
        <v>2125546</v>
      </c>
      <c r="G110" t="s">
        <v>275</v>
      </c>
      <c r="H110" t="s">
        <v>285</v>
      </c>
      <c r="I110" t="s">
        <v>286</v>
      </c>
      <c r="J110" t="str">
        <f t="shared" si="12"/>
        <v>080601</v>
      </c>
      <c r="K110" t="s">
        <v>22</v>
      </c>
      <c r="L110" t="s">
        <v>23</v>
      </c>
      <c r="M110" t="str">
        <f t="shared" si="13"/>
        <v>1</v>
      </c>
      <c r="O110" t="str">
        <f t="shared" si="14"/>
        <v>1 </v>
      </c>
      <c r="P110">
        <v>103.3</v>
      </c>
      <c r="Q110" t="s">
        <v>24</v>
      </c>
    </row>
    <row r="111" spans="1:17" ht="15">
      <c r="A111" t="s">
        <v>17</v>
      </c>
      <c r="B111" s="1">
        <v>41831</v>
      </c>
      <c r="C111" t="s">
        <v>191</v>
      </c>
      <c r="D111" t="str">
        <f>CONCATENATE("0040016445","")</f>
        <v>0040016445</v>
      </c>
      <c r="E111" t="str">
        <f>CONCATENATE("0060102001355       ","")</f>
        <v>0060102001355       </v>
      </c>
      <c r="F111" t="str">
        <f>CONCATENATE("1805142","")</f>
        <v>1805142</v>
      </c>
      <c r="G111" t="s">
        <v>287</v>
      </c>
      <c r="H111" t="s">
        <v>288</v>
      </c>
      <c r="I111" t="s">
        <v>289</v>
      </c>
      <c r="J111" t="str">
        <f t="shared" si="12"/>
        <v>080601</v>
      </c>
      <c r="K111" t="s">
        <v>22</v>
      </c>
      <c r="L111" t="s">
        <v>23</v>
      </c>
      <c r="M111" t="str">
        <f t="shared" si="13"/>
        <v>1</v>
      </c>
      <c r="O111" t="str">
        <f t="shared" si="14"/>
        <v>1 </v>
      </c>
      <c r="P111">
        <v>20.5</v>
      </c>
      <c r="Q111" t="s">
        <v>24</v>
      </c>
    </row>
    <row r="112" spans="1:17" ht="15">
      <c r="A112" t="s">
        <v>17</v>
      </c>
      <c r="B112" s="1">
        <v>41831</v>
      </c>
      <c r="C112" t="s">
        <v>191</v>
      </c>
      <c r="D112" t="str">
        <f>CONCATENATE("0040016448","")</f>
        <v>0040016448</v>
      </c>
      <c r="E112" t="str">
        <f>CONCATENATE("0060102001358       ","")</f>
        <v>0060102001358       </v>
      </c>
      <c r="F112" t="str">
        <f>CONCATENATE("00000000978","")</f>
        <v>00000000978</v>
      </c>
      <c r="G112" t="s">
        <v>287</v>
      </c>
      <c r="H112" t="s">
        <v>288</v>
      </c>
      <c r="I112" t="s">
        <v>290</v>
      </c>
      <c r="J112" t="str">
        <f t="shared" si="12"/>
        <v>080601</v>
      </c>
      <c r="K112" t="s">
        <v>22</v>
      </c>
      <c r="L112" t="s">
        <v>23</v>
      </c>
      <c r="M112" t="str">
        <f t="shared" si="13"/>
        <v>1</v>
      </c>
      <c r="O112" t="str">
        <f t="shared" si="14"/>
        <v>1 </v>
      </c>
      <c r="P112">
        <v>18.6</v>
      </c>
      <c r="Q112" t="s">
        <v>24</v>
      </c>
    </row>
    <row r="113" spans="1:17" ht="15">
      <c r="A113" t="s">
        <v>17</v>
      </c>
      <c r="B113" s="1">
        <v>41831</v>
      </c>
      <c r="C113" t="s">
        <v>191</v>
      </c>
      <c r="D113" t="str">
        <f>CONCATENATE("0040000880","")</f>
        <v>0040000880</v>
      </c>
      <c r="E113" t="str">
        <f>CONCATENATE("0060102001360       ","")</f>
        <v>0060102001360       </v>
      </c>
      <c r="F113" t="str">
        <f>CONCATENATE("00000608568","")</f>
        <v>00000608568</v>
      </c>
      <c r="G113" t="s">
        <v>287</v>
      </c>
      <c r="H113" t="s">
        <v>291</v>
      </c>
      <c r="I113" t="s">
        <v>292</v>
      </c>
      <c r="J113" t="str">
        <f t="shared" si="12"/>
        <v>080601</v>
      </c>
      <c r="K113" t="s">
        <v>22</v>
      </c>
      <c r="L113" t="s">
        <v>23</v>
      </c>
      <c r="M113" t="str">
        <f t="shared" si="13"/>
        <v>1</v>
      </c>
      <c r="O113" t="str">
        <f t="shared" si="14"/>
        <v>1 </v>
      </c>
      <c r="P113">
        <v>55.3</v>
      </c>
      <c r="Q113" t="s">
        <v>24</v>
      </c>
    </row>
    <row r="114" spans="1:17" ht="15">
      <c r="A114" t="s">
        <v>17</v>
      </c>
      <c r="B114" s="1">
        <v>41831</v>
      </c>
      <c r="C114" t="s">
        <v>191</v>
      </c>
      <c r="D114" t="str">
        <f>CONCATENATE("0040019168","")</f>
        <v>0040019168</v>
      </c>
      <c r="E114" t="str">
        <f>CONCATENATE("0060102001428       ","")</f>
        <v>0060102001428       </v>
      </c>
      <c r="F114" t="str">
        <f>CONCATENATE("605395554","")</f>
        <v>605395554</v>
      </c>
      <c r="G114" t="s">
        <v>287</v>
      </c>
      <c r="H114" t="s">
        <v>293</v>
      </c>
      <c r="I114" t="s">
        <v>294</v>
      </c>
      <c r="J114" t="str">
        <f t="shared" si="12"/>
        <v>080601</v>
      </c>
      <c r="K114" t="s">
        <v>22</v>
      </c>
      <c r="L114" t="s">
        <v>23</v>
      </c>
      <c r="M114" t="str">
        <f t="shared" si="13"/>
        <v>1</v>
      </c>
      <c r="O114" t="str">
        <f t="shared" si="14"/>
        <v>1 </v>
      </c>
      <c r="P114">
        <v>144.6</v>
      </c>
      <c r="Q114" t="s">
        <v>24</v>
      </c>
    </row>
    <row r="115" spans="1:17" ht="15">
      <c r="A115" t="s">
        <v>17</v>
      </c>
      <c r="B115" s="1">
        <v>41831</v>
      </c>
      <c r="C115" t="s">
        <v>191</v>
      </c>
      <c r="D115" t="str">
        <f>CONCATENATE("0040009820","")</f>
        <v>0040009820</v>
      </c>
      <c r="E115" t="str">
        <f>CONCATENATE("0060102001715       ","")</f>
        <v>0060102001715       </v>
      </c>
      <c r="F115" t="str">
        <f>CONCATENATE("00007298812","")</f>
        <v>00007298812</v>
      </c>
      <c r="G115" t="s">
        <v>222</v>
      </c>
      <c r="H115" t="s">
        <v>295</v>
      </c>
      <c r="I115" t="s">
        <v>296</v>
      </c>
      <c r="J115" t="str">
        <f t="shared" si="12"/>
        <v>080601</v>
      </c>
      <c r="K115" t="s">
        <v>22</v>
      </c>
      <c r="L115" t="s">
        <v>23</v>
      </c>
      <c r="M115" t="str">
        <f t="shared" si="13"/>
        <v>1</v>
      </c>
      <c r="O115" t="str">
        <f t="shared" si="14"/>
        <v>1 </v>
      </c>
      <c r="P115">
        <v>75.7</v>
      </c>
      <c r="Q115" t="s">
        <v>24</v>
      </c>
    </row>
    <row r="116" spans="1:17" ht="15">
      <c r="A116" t="s">
        <v>17</v>
      </c>
      <c r="B116" s="1">
        <v>41831</v>
      </c>
      <c r="C116" t="s">
        <v>191</v>
      </c>
      <c r="D116" t="str">
        <f>CONCATENATE("0040012803","")</f>
        <v>0040012803</v>
      </c>
      <c r="E116" t="str">
        <f>CONCATENATE("0060102001716       ","")</f>
        <v>0060102001716       </v>
      </c>
      <c r="F116" t="str">
        <f>CONCATENATE("605554441","")</f>
        <v>605554441</v>
      </c>
      <c r="G116" t="s">
        <v>222</v>
      </c>
      <c r="H116" t="s">
        <v>297</v>
      </c>
      <c r="I116" t="s">
        <v>298</v>
      </c>
      <c r="J116" t="str">
        <f t="shared" si="12"/>
        <v>080601</v>
      </c>
      <c r="K116" t="s">
        <v>22</v>
      </c>
      <c r="L116" t="s">
        <v>23</v>
      </c>
      <c r="M116" t="str">
        <f t="shared" si="13"/>
        <v>1</v>
      </c>
      <c r="O116" t="str">
        <f t="shared" si="14"/>
        <v>1 </v>
      </c>
      <c r="P116">
        <v>49.95</v>
      </c>
      <c r="Q116" t="s">
        <v>24</v>
      </c>
    </row>
    <row r="117" spans="1:17" ht="15">
      <c r="A117" t="s">
        <v>17</v>
      </c>
      <c r="B117" s="1">
        <v>41831</v>
      </c>
      <c r="C117" t="s">
        <v>191</v>
      </c>
      <c r="D117" t="str">
        <f>CONCATENATE("0040008598","")</f>
        <v>0040008598</v>
      </c>
      <c r="E117" t="str">
        <f>CONCATENATE("0060102001735       ","")</f>
        <v>0060102001735       </v>
      </c>
      <c r="F117" t="str">
        <f>CONCATENATE("1805157","")</f>
        <v>1805157</v>
      </c>
      <c r="G117" t="s">
        <v>222</v>
      </c>
      <c r="H117" t="s">
        <v>299</v>
      </c>
      <c r="I117" t="s">
        <v>300</v>
      </c>
      <c r="J117" t="str">
        <f t="shared" si="12"/>
        <v>080601</v>
      </c>
      <c r="K117" t="s">
        <v>22</v>
      </c>
      <c r="L117" t="s">
        <v>23</v>
      </c>
      <c r="M117" t="str">
        <f t="shared" si="13"/>
        <v>1</v>
      </c>
      <c r="O117" t="str">
        <f t="shared" si="14"/>
        <v>1 </v>
      </c>
      <c r="P117">
        <v>109.7</v>
      </c>
      <c r="Q117" t="s">
        <v>24</v>
      </c>
    </row>
    <row r="118" spans="1:17" ht="15">
      <c r="A118" t="s">
        <v>17</v>
      </c>
      <c r="B118" s="1">
        <v>41831</v>
      </c>
      <c r="C118" t="s">
        <v>191</v>
      </c>
      <c r="D118" t="str">
        <f>CONCATENATE("0040007500","")</f>
        <v>0040007500</v>
      </c>
      <c r="E118" t="str">
        <f>CONCATENATE("0060102001865       ","")</f>
        <v>0060102001865       </v>
      </c>
      <c r="F118" t="str">
        <f>CONCATENATE("605056878","")</f>
        <v>605056878</v>
      </c>
      <c r="G118" t="s">
        <v>301</v>
      </c>
      <c r="H118" t="s">
        <v>302</v>
      </c>
      <c r="I118" t="s">
        <v>303</v>
      </c>
      <c r="J118" t="str">
        <f t="shared" si="12"/>
        <v>080601</v>
      </c>
      <c r="K118" t="s">
        <v>22</v>
      </c>
      <c r="L118" t="s">
        <v>23</v>
      </c>
      <c r="M118" t="str">
        <f t="shared" si="13"/>
        <v>1</v>
      </c>
      <c r="O118" t="str">
        <f t="shared" si="14"/>
        <v>1 </v>
      </c>
      <c r="P118">
        <v>310.15</v>
      </c>
      <c r="Q118" t="s">
        <v>24</v>
      </c>
    </row>
    <row r="119" spans="1:17" ht="15">
      <c r="A119" t="s">
        <v>17</v>
      </c>
      <c r="B119" s="1">
        <v>41831</v>
      </c>
      <c r="C119" t="s">
        <v>191</v>
      </c>
      <c r="D119" t="str">
        <f>CONCATENATE("0040000979","")</f>
        <v>0040000979</v>
      </c>
      <c r="E119" t="str">
        <f>CONCATENATE("0060102002260       ","")</f>
        <v>0060102002260       </v>
      </c>
      <c r="F119" t="str">
        <f>CONCATENATE("00000008789","")</f>
        <v>00000008789</v>
      </c>
      <c r="G119" t="s">
        <v>222</v>
      </c>
      <c r="H119" t="s">
        <v>304</v>
      </c>
      <c r="I119" t="s">
        <v>305</v>
      </c>
      <c r="J119" t="str">
        <f t="shared" si="12"/>
        <v>080601</v>
      </c>
      <c r="K119" t="s">
        <v>22</v>
      </c>
      <c r="L119" t="s">
        <v>23</v>
      </c>
      <c r="M119" t="str">
        <f t="shared" si="13"/>
        <v>1</v>
      </c>
      <c r="O119" t="str">
        <f>CONCATENATE("2 ","")</f>
        <v>2 </v>
      </c>
      <c r="P119">
        <v>268.85</v>
      </c>
      <c r="Q119" t="s">
        <v>24</v>
      </c>
    </row>
    <row r="120" spans="1:17" ht="15">
      <c r="A120" t="s">
        <v>17</v>
      </c>
      <c r="B120" s="1">
        <v>41831</v>
      </c>
      <c r="C120" t="s">
        <v>191</v>
      </c>
      <c r="D120" t="str">
        <f>CONCATENATE("0040001003","")</f>
        <v>0040001003</v>
      </c>
      <c r="E120" t="str">
        <f>CONCATENATE("0060102002470       ","")</f>
        <v>0060102002470       </v>
      </c>
      <c r="F120" t="str">
        <f>CONCATENATE("0606669524","")</f>
        <v>0606669524</v>
      </c>
      <c r="G120" t="s">
        <v>247</v>
      </c>
      <c r="H120" t="s">
        <v>306</v>
      </c>
      <c r="I120" t="s">
        <v>307</v>
      </c>
      <c r="J120" t="str">
        <f t="shared" si="12"/>
        <v>080601</v>
      </c>
      <c r="K120" t="s">
        <v>22</v>
      </c>
      <c r="L120" t="s">
        <v>23</v>
      </c>
      <c r="M120" t="str">
        <f t="shared" si="13"/>
        <v>1</v>
      </c>
      <c r="O120" t="str">
        <f aca="true" t="shared" si="15" ref="O120:O129">CONCATENATE("1 ","")</f>
        <v>1 </v>
      </c>
      <c r="P120">
        <v>65.65</v>
      </c>
      <c r="Q120" t="s">
        <v>24</v>
      </c>
    </row>
    <row r="121" spans="1:17" ht="15">
      <c r="A121" t="s">
        <v>17</v>
      </c>
      <c r="B121" s="1">
        <v>41831</v>
      </c>
      <c r="C121" t="s">
        <v>191</v>
      </c>
      <c r="D121" t="str">
        <f>CONCATENATE("0040001006","")</f>
        <v>0040001006</v>
      </c>
      <c r="E121" t="str">
        <f>CONCATENATE("0060102002490       ","")</f>
        <v>0060102002490       </v>
      </c>
      <c r="F121" t="str">
        <f>CONCATENATE("00007294498","")</f>
        <v>00007294498</v>
      </c>
      <c r="G121" t="s">
        <v>247</v>
      </c>
      <c r="H121" t="s">
        <v>308</v>
      </c>
      <c r="I121" t="s">
        <v>309</v>
      </c>
      <c r="J121" t="str">
        <f t="shared" si="12"/>
        <v>080601</v>
      </c>
      <c r="K121" t="s">
        <v>22</v>
      </c>
      <c r="L121" t="s">
        <v>23</v>
      </c>
      <c r="M121" t="str">
        <f t="shared" si="13"/>
        <v>1</v>
      </c>
      <c r="O121" t="str">
        <f t="shared" si="15"/>
        <v>1 </v>
      </c>
      <c r="P121">
        <v>201.15</v>
      </c>
      <c r="Q121" t="s">
        <v>24</v>
      </c>
    </row>
    <row r="122" spans="1:17" ht="15">
      <c r="A122" t="s">
        <v>17</v>
      </c>
      <c r="B122" s="1">
        <v>41831</v>
      </c>
      <c r="C122" t="s">
        <v>191</v>
      </c>
      <c r="D122" t="str">
        <f>CONCATENATE("0040023171","")</f>
        <v>0040023171</v>
      </c>
      <c r="E122" t="str">
        <f>CONCATENATE("0060103000316       ","")</f>
        <v>0060103000316       </v>
      </c>
      <c r="F122" t="str">
        <f>CONCATENATE("1936991","")</f>
        <v>1936991</v>
      </c>
      <c r="G122" t="s">
        <v>275</v>
      </c>
      <c r="H122" t="s">
        <v>283</v>
      </c>
      <c r="I122" t="s">
        <v>310</v>
      </c>
      <c r="J122" t="str">
        <f t="shared" si="12"/>
        <v>080601</v>
      </c>
      <c r="K122" t="s">
        <v>22</v>
      </c>
      <c r="L122" t="s">
        <v>23</v>
      </c>
      <c r="M122" t="str">
        <f t="shared" si="13"/>
        <v>1</v>
      </c>
      <c r="O122" t="str">
        <f t="shared" si="15"/>
        <v>1 </v>
      </c>
      <c r="P122">
        <v>15.8</v>
      </c>
      <c r="Q122" t="s">
        <v>24</v>
      </c>
    </row>
    <row r="123" spans="1:17" ht="15">
      <c r="A123" t="s">
        <v>17</v>
      </c>
      <c r="B123" s="1">
        <v>41831</v>
      </c>
      <c r="C123" t="s">
        <v>191</v>
      </c>
      <c r="D123" t="str">
        <f>CONCATENATE("0040001063","")</f>
        <v>0040001063</v>
      </c>
      <c r="E123" t="str">
        <f>CONCATENATE("0060103000540       ","")</f>
        <v>0060103000540       </v>
      </c>
      <c r="F123" t="str">
        <f>CONCATENATE("2123651","")</f>
        <v>2123651</v>
      </c>
      <c r="G123" t="s">
        <v>275</v>
      </c>
      <c r="H123" t="s">
        <v>311</v>
      </c>
      <c r="I123" t="str">
        <f>CONCATENATE("28-DE-JULIO-517","")</f>
        <v>28-DE-JULIO-517</v>
      </c>
      <c r="J123" t="str">
        <f t="shared" si="12"/>
        <v>080601</v>
      </c>
      <c r="K123" t="s">
        <v>22</v>
      </c>
      <c r="L123" t="s">
        <v>23</v>
      </c>
      <c r="M123" t="str">
        <f t="shared" si="13"/>
        <v>1</v>
      </c>
      <c r="O123" t="str">
        <f t="shared" si="15"/>
        <v>1 </v>
      </c>
      <c r="P123">
        <v>374.8</v>
      </c>
      <c r="Q123" t="s">
        <v>24</v>
      </c>
    </row>
    <row r="124" spans="1:17" ht="15">
      <c r="A124" t="s">
        <v>17</v>
      </c>
      <c r="B124" s="1">
        <v>41831</v>
      </c>
      <c r="C124" t="s">
        <v>191</v>
      </c>
      <c r="D124" t="str">
        <f>CONCATENATE("0040027333","")</f>
        <v>0040027333</v>
      </c>
      <c r="E124" t="str">
        <f>CONCATENATE("0060103000544       ","")</f>
        <v>0060103000544       </v>
      </c>
      <c r="F124" t="str">
        <f>CONCATENATE("0669194","")</f>
        <v>0669194</v>
      </c>
      <c r="G124" t="s">
        <v>275</v>
      </c>
      <c r="H124" t="s">
        <v>312</v>
      </c>
      <c r="I124" t="s">
        <v>313</v>
      </c>
      <c r="J124" t="str">
        <f t="shared" si="12"/>
        <v>080601</v>
      </c>
      <c r="K124" t="s">
        <v>22</v>
      </c>
      <c r="L124" t="s">
        <v>23</v>
      </c>
      <c r="M124" t="str">
        <f t="shared" si="13"/>
        <v>1</v>
      </c>
      <c r="O124" t="str">
        <f t="shared" si="15"/>
        <v>1 </v>
      </c>
      <c r="P124">
        <v>470.9</v>
      </c>
      <c r="Q124" t="s">
        <v>24</v>
      </c>
    </row>
    <row r="125" spans="1:17" ht="15">
      <c r="A125" t="s">
        <v>17</v>
      </c>
      <c r="B125" s="1">
        <v>41831</v>
      </c>
      <c r="C125" t="s">
        <v>191</v>
      </c>
      <c r="D125" t="str">
        <f>CONCATENATE("0040001163","")</f>
        <v>0040001163</v>
      </c>
      <c r="E125" t="str">
        <f>CONCATENATE("0060103001470       ","")</f>
        <v>0060103001470       </v>
      </c>
      <c r="F125" t="str">
        <f>CONCATENATE("605397833","")</f>
        <v>605397833</v>
      </c>
      <c r="G125" t="s">
        <v>278</v>
      </c>
      <c r="H125" t="s">
        <v>314</v>
      </c>
      <c r="I125" t="s">
        <v>315</v>
      </c>
      <c r="J125" t="str">
        <f t="shared" si="12"/>
        <v>080601</v>
      </c>
      <c r="K125" t="s">
        <v>22</v>
      </c>
      <c r="L125" t="s">
        <v>23</v>
      </c>
      <c r="M125" t="str">
        <f t="shared" si="13"/>
        <v>1</v>
      </c>
      <c r="O125" t="str">
        <f t="shared" si="15"/>
        <v>1 </v>
      </c>
      <c r="P125">
        <v>24.3</v>
      </c>
      <c r="Q125" t="s">
        <v>24</v>
      </c>
    </row>
    <row r="126" spans="1:17" ht="15">
      <c r="A126" t="s">
        <v>17</v>
      </c>
      <c r="B126" s="1">
        <v>41831</v>
      </c>
      <c r="C126" t="s">
        <v>191</v>
      </c>
      <c r="D126" t="str">
        <f>CONCATENATE("0040033687","")</f>
        <v>0040033687</v>
      </c>
      <c r="E126" t="str">
        <f>CONCATENATE("0060104000272       ","")</f>
        <v>0060104000272       </v>
      </c>
      <c r="F126" t="str">
        <f>CONCATENATE("0606666740","")</f>
        <v>0606666740</v>
      </c>
      <c r="G126" t="s">
        <v>316</v>
      </c>
      <c r="H126" t="s">
        <v>317</v>
      </c>
      <c r="I126" t="s">
        <v>318</v>
      </c>
      <c r="J126" t="str">
        <f t="shared" si="12"/>
        <v>080601</v>
      </c>
      <c r="K126" t="s">
        <v>22</v>
      </c>
      <c r="L126" t="s">
        <v>23</v>
      </c>
      <c r="M126" t="str">
        <f t="shared" si="13"/>
        <v>1</v>
      </c>
      <c r="O126" t="str">
        <f t="shared" si="15"/>
        <v>1 </v>
      </c>
      <c r="P126">
        <v>12.45</v>
      </c>
      <c r="Q126" t="s">
        <v>24</v>
      </c>
    </row>
    <row r="127" spans="1:17" ht="15">
      <c r="A127" t="s">
        <v>17</v>
      </c>
      <c r="B127" s="1">
        <v>41831</v>
      </c>
      <c r="C127" t="s">
        <v>191</v>
      </c>
      <c r="D127" t="str">
        <f>CONCATENATE("0040033304","")</f>
        <v>0040033304</v>
      </c>
      <c r="E127" t="str">
        <f>CONCATENATE("0060104000695       ","")</f>
        <v>0060104000695       </v>
      </c>
      <c r="F127" t="str">
        <f>CONCATENATE("0606676413","")</f>
        <v>0606676413</v>
      </c>
      <c r="G127" t="s">
        <v>319</v>
      </c>
      <c r="H127" t="s">
        <v>320</v>
      </c>
      <c r="I127" t="s">
        <v>321</v>
      </c>
      <c r="J127" t="str">
        <f t="shared" si="12"/>
        <v>080601</v>
      </c>
      <c r="K127" t="s">
        <v>22</v>
      </c>
      <c r="L127" t="s">
        <v>23</v>
      </c>
      <c r="M127" t="str">
        <f t="shared" si="13"/>
        <v>1</v>
      </c>
      <c r="O127" t="str">
        <f t="shared" si="15"/>
        <v>1 </v>
      </c>
      <c r="P127">
        <v>23.45</v>
      </c>
      <c r="Q127" t="s">
        <v>24</v>
      </c>
    </row>
    <row r="128" spans="1:17" ht="15">
      <c r="A128" t="s">
        <v>17</v>
      </c>
      <c r="B128" s="1">
        <v>41831</v>
      </c>
      <c r="C128" t="s">
        <v>191</v>
      </c>
      <c r="D128" t="str">
        <f>CONCATENATE("0040001247","")</f>
        <v>0040001247</v>
      </c>
      <c r="E128" t="str">
        <f>CONCATENATE("0060104000700       ","")</f>
        <v>0060104000700       </v>
      </c>
      <c r="F128" t="str">
        <f>CONCATENATE("2125554","")</f>
        <v>2125554</v>
      </c>
      <c r="G128" t="s">
        <v>319</v>
      </c>
      <c r="H128" t="s">
        <v>322</v>
      </c>
      <c r="I128" t="s">
        <v>323</v>
      </c>
      <c r="J128" t="str">
        <f t="shared" si="12"/>
        <v>080601</v>
      </c>
      <c r="K128" t="s">
        <v>22</v>
      </c>
      <c r="L128" t="s">
        <v>23</v>
      </c>
      <c r="M128" t="str">
        <f t="shared" si="13"/>
        <v>1</v>
      </c>
      <c r="O128" t="str">
        <f t="shared" si="15"/>
        <v>1 </v>
      </c>
      <c r="P128">
        <v>25.95</v>
      </c>
      <c r="Q128" t="s">
        <v>24</v>
      </c>
    </row>
    <row r="129" spans="1:17" ht="15">
      <c r="A129" t="s">
        <v>17</v>
      </c>
      <c r="B129" s="1">
        <v>41831</v>
      </c>
      <c r="C129" t="s">
        <v>191</v>
      </c>
      <c r="D129" t="str">
        <f>CONCATENATE("0040007541","")</f>
        <v>0040007541</v>
      </c>
      <c r="E129" t="str">
        <f>CONCATENATE("0060104000867       ","")</f>
        <v>0060104000867       </v>
      </c>
      <c r="F129" t="str">
        <f>CONCATENATE("507004599","")</f>
        <v>507004599</v>
      </c>
      <c r="G129" t="s">
        <v>278</v>
      </c>
      <c r="H129" t="s">
        <v>324</v>
      </c>
      <c r="I129" t="s">
        <v>325</v>
      </c>
      <c r="J129" t="str">
        <f t="shared" si="12"/>
        <v>080601</v>
      </c>
      <c r="K129" t="s">
        <v>22</v>
      </c>
      <c r="L129" t="s">
        <v>23</v>
      </c>
      <c r="M129" t="str">
        <f t="shared" si="13"/>
        <v>1</v>
      </c>
      <c r="O129" t="str">
        <f t="shared" si="15"/>
        <v>1 </v>
      </c>
      <c r="P129">
        <v>2480</v>
      </c>
      <c r="Q129" t="s">
        <v>326</v>
      </c>
    </row>
    <row r="130" spans="1:17" ht="15">
      <c r="A130" t="s">
        <v>17</v>
      </c>
      <c r="B130" s="1">
        <v>41831</v>
      </c>
      <c r="C130" t="s">
        <v>191</v>
      </c>
      <c r="D130" t="str">
        <f>CONCATENATE("0040001299","")</f>
        <v>0040001299</v>
      </c>
      <c r="E130" t="str">
        <f>CONCATENATE("0060104001150       ","")</f>
        <v>0060104001150       </v>
      </c>
      <c r="F130" t="str">
        <f>CONCATENATE("07294792","")</f>
        <v>07294792</v>
      </c>
      <c r="G130" t="s">
        <v>278</v>
      </c>
      <c r="H130" t="s">
        <v>327</v>
      </c>
      <c r="I130" t="s">
        <v>328</v>
      </c>
      <c r="J130" t="str">
        <f t="shared" si="12"/>
        <v>080601</v>
      </c>
      <c r="K130" t="s">
        <v>22</v>
      </c>
      <c r="L130" t="s">
        <v>23</v>
      </c>
      <c r="M130" t="str">
        <f t="shared" si="13"/>
        <v>1</v>
      </c>
      <c r="O130" t="str">
        <f>CONCATENATE("2 ","")</f>
        <v>2 </v>
      </c>
      <c r="P130">
        <v>137.05</v>
      </c>
      <c r="Q130" t="s">
        <v>24</v>
      </c>
    </row>
    <row r="131" spans="1:17" ht="15">
      <c r="A131" t="s">
        <v>17</v>
      </c>
      <c r="B131" s="1">
        <v>41831</v>
      </c>
      <c r="C131" t="s">
        <v>191</v>
      </c>
      <c r="D131" t="str">
        <f>CONCATENATE("0040009918","")</f>
        <v>0040009918</v>
      </c>
      <c r="E131" t="str">
        <f>CONCATENATE("0060104001153       ","")</f>
        <v>0060104001153       </v>
      </c>
      <c r="F131" t="str">
        <f>CONCATENATE("7293109","")</f>
        <v>7293109</v>
      </c>
      <c r="G131" t="s">
        <v>278</v>
      </c>
      <c r="H131" t="s">
        <v>329</v>
      </c>
      <c r="I131" t="s">
        <v>330</v>
      </c>
      <c r="J131" t="str">
        <f t="shared" si="12"/>
        <v>080601</v>
      </c>
      <c r="K131" t="s">
        <v>22</v>
      </c>
      <c r="L131" t="s">
        <v>23</v>
      </c>
      <c r="M131" t="str">
        <f t="shared" si="13"/>
        <v>1</v>
      </c>
      <c r="O131" t="str">
        <f>CONCATENATE("2 ","")</f>
        <v>2 </v>
      </c>
      <c r="P131">
        <v>29.85</v>
      </c>
      <c r="Q131" t="s">
        <v>24</v>
      </c>
    </row>
    <row r="132" spans="1:17" ht="15">
      <c r="A132" t="s">
        <v>17</v>
      </c>
      <c r="B132" s="1">
        <v>41831</v>
      </c>
      <c r="C132" t="s">
        <v>191</v>
      </c>
      <c r="D132" t="str">
        <f>CONCATENATE("0040028184","")</f>
        <v>0040028184</v>
      </c>
      <c r="E132" t="str">
        <f>CONCATENATE("0060104001436       ","")</f>
        <v>0060104001436       </v>
      </c>
      <c r="F132" t="str">
        <f>CONCATENATE("2189080","")</f>
        <v>2189080</v>
      </c>
      <c r="G132" t="s">
        <v>319</v>
      </c>
      <c r="H132" t="s">
        <v>331</v>
      </c>
      <c r="I132" t="s">
        <v>332</v>
      </c>
      <c r="J132" t="str">
        <f aca="true" t="shared" si="16" ref="J132:J195">CONCATENATE("080601","")</f>
        <v>080601</v>
      </c>
      <c r="K132" t="s">
        <v>22</v>
      </c>
      <c r="L132" t="s">
        <v>23</v>
      </c>
      <c r="M132" t="str">
        <f t="shared" si="13"/>
        <v>1</v>
      </c>
      <c r="O132" t="str">
        <f>CONCATENATE("2 ","")</f>
        <v>2 </v>
      </c>
      <c r="P132">
        <v>18.7</v>
      </c>
      <c r="Q132" t="s">
        <v>24</v>
      </c>
    </row>
    <row r="133" spans="1:17" ht="15">
      <c r="A133" t="s">
        <v>17</v>
      </c>
      <c r="B133" s="1">
        <v>41831</v>
      </c>
      <c r="C133" t="s">
        <v>191</v>
      </c>
      <c r="D133" t="str">
        <f>CONCATENATE("0040009641","")</f>
        <v>0040009641</v>
      </c>
      <c r="E133" t="str">
        <f>CONCATENATE("0060105000016       ","")</f>
        <v>0060105000016       </v>
      </c>
      <c r="F133" t="str">
        <f>CONCATENATE("0606669507","")</f>
        <v>0606669507</v>
      </c>
      <c r="G133" t="s">
        <v>333</v>
      </c>
      <c r="H133" t="s">
        <v>334</v>
      </c>
      <c r="I133" t="s">
        <v>335</v>
      </c>
      <c r="J133" t="str">
        <f t="shared" si="16"/>
        <v>080601</v>
      </c>
      <c r="K133" t="s">
        <v>22</v>
      </c>
      <c r="L133" t="s">
        <v>23</v>
      </c>
      <c r="M133" t="str">
        <f t="shared" si="13"/>
        <v>1</v>
      </c>
      <c r="O133" t="str">
        <f aca="true" t="shared" si="17" ref="O133:O164">CONCATENATE("1 ","")</f>
        <v>1 </v>
      </c>
      <c r="P133">
        <v>249.75</v>
      </c>
      <c r="Q133" t="s">
        <v>24</v>
      </c>
    </row>
    <row r="134" spans="1:17" ht="15">
      <c r="A134" t="s">
        <v>17</v>
      </c>
      <c r="B134" s="1">
        <v>41831</v>
      </c>
      <c r="C134" t="s">
        <v>191</v>
      </c>
      <c r="D134" t="str">
        <f>CONCATENATE("0040001347","")</f>
        <v>0040001347</v>
      </c>
      <c r="E134" t="str">
        <f>CONCATENATE("0060105000060       ","")</f>
        <v>0060105000060       </v>
      </c>
      <c r="F134" t="str">
        <f>CONCATENATE("6857764","")</f>
        <v>6857764</v>
      </c>
      <c r="G134" t="s">
        <v>333</v>
      </c>
      <c r="H134" t="s">
        <v>336</v>
      </c>
      <c r="I134" t="s">
        <v>337</v>
      </c>
      <c r="J134" t="str">
        <f t="shared" si="16"/>
        <v>080601</v>
      </c>
      <c r="K134" t="s">
        <v>22</v>
      </c>
      <c r="L134" t="s">
        <v>23</v>
      </c>
      <c r="M134" t="str">
        <f t="shared" si="13"/>
        <v>1</v>
      </c>
      <c r="O134" t="str">
        <f t="shared" si="17"/>
        <v>1 </v>
      </c>
      <c r="P134">
        <v>32.05</v>
      </c>
      <c r="Q134" t="s">
        <v>24</v>
      </c>
    </row>
    <row r="135" spans="1:17" ht="15">
      <c r="A135" t="s">
        <v>17</v>
      </c>
      <c r="B135" s="1">
        <v>41831</v>
      </c>
      <c r="C135" t="s">
        <v>191</v>
      </c>
      <c r="D135" t="str">
        <f>CONCATENATE("0040016376","")</f>
        <v>0040016376</v>
      </c>
      <c r="E135" t="str">
        <f>CONCATENATE("0060105000062       ","")</f>
        <v>0060105000062       </v>
      </c>
      <c r="F135" t="str">
        <f>CONCATENATE("0PE31200039","")</f>
        <v>0PE31200039</v>
      </c>
      <c r="G135" t="s">
        <v>333</v>
      </c>
      <c r="H135" t="s">
        <v>338</v>
      </c>
      <c r="I135" t="s">
        <v>337</v>
      </c>
      <c r="J135" t="str">
        <f t="shared" si="16"/>
        <v>080601</v>
      </c>
      <c r="K135" t="s">
        <v>22</v>
      </c>
      <c r="L135" t="s">
        <v>23</v>
      </c>
      <c r="M135" t="str">
        <f>CONCATENATE("3","")</f>
        <v>3</v>
      </c>
      <c r="O135" t="str">
        <f t="shared" si="17"/>
        <v>1 </v>
      </c>
      <c r="P135">
        <v>262.25</v>
      </c>
      <c r="Q135" t="s">
        <v>326</v>
      </c>
    </row>
    <row r="136" spans="1:17" ht="15">
      <c r="A136" t="s">
        <v>17</v>
      </c>
      <c r="B136" s="1">
        <v>41831</v>
      </c>
      <c r="C136" t="s">
        <v>191</v>
      </c>
      <c r="D136" t="str">
        <f>CONCATENATE("0040019645","")</f>
        <v>0040019645</v>
      </c>
      <c r="E136" t="str">
        <f>CONCATENATE("0060105000071       ","")</f>
        <v>0060105000071       </v>
      </c>
      <c r="F136" t="str">
        <f>CONCATENATE("605620277","")</f>
        <v>605620277</v>
      </c>
      <c r="G136" t="s">
        <v>333</v>
      </c>
      <c r="H136" t="s">
        <v>197</v>
      </c>
      <c r="I136" t="s">
        <v>339</v>
      </c>
      <c r="J136" t="str">
        <f t="shared" si="16"/>
        <v>080601</v>
      </c>
      <c r="K136" t="s">
        <v>22</v>
      </c>
      <c r="L136" t="s">
        <v>23</v>
      </c>
      <c r="M136" t="str">
        <f aca="true" t="shared" si="18" ref="M136:M142">CONCATENATE("1","")</f>
        <v>1</v>
      </c>
      <c r="O136" t="str">
        <f t="shared" si="17"/>
        <v>1 </v>
      </c>
      <c r="P136">
        <v>20.3</v>
      </c>
      <c r="Q136" t="s">
        <v>24</v>
      </c>
    </row>
    <row r="137" spans="1:17" ht="15">
      <c r="A137" t="s">
        <v>17</v>
      </c>
      <c r="B137" s="1">
        <v>41831</v>
      </c>
      <c r="C137" t="s">
        <v>191</v>
      </c>
      <c r="D137" t="str">
        <f>CONCATENATE("0040020698","")</f>
        <v>0040020698</v>
      </c>
      <c r="E137" t="str">
        <f>CONCATENATE("0060105000104       ","")</f>
        <v>0060105000104       </v>
      </c>
      <c r="F137" t="str">
        <f>CONCATENATE("606133722","")</f>
        <v>606133722</v>
      </c>
      <c r="G137" t="s">
        <v>333</v>
      </c>
      <c r="H137" t="s">
        <v>340</v>
      </c>
      <c r="I137" t="s">
        <v>341</v>
      </c>
      <c r="J137" t="str">
        <f t="shared" si="16"/>
        <v>080601</v>
      </c>
      <c r="K137" t="s">
        <v>22</v>
      </c>
      <c r="L137" t="s">
        <v>23</v>
      </c>
      <c r="M137" t="str">
        <f t="shared" si="18"/>
        <v>1</v>
      </c>
      <c r="O137" t="str">
        <f t="shared" si="17"/>
        <v>1 </v>
      </c>
      <c r="P137">
        <v>13.05</v>
      </c>
      <c r="Q137" t="s">
        <v>24</v>
      </c>
    </row>
    <row r="138" spans="1:17" ht="15">
      <c r="A138" t="s">
        <v>17</v>
      </c>
      <c r="B138" s="1">
        <v>41831</v>
      </c>
      <c r="C138" t="s">
        <v>191</v>
      </c>
      <c r="D138" t="str">
        <f>CONCATENATE("0040023108","")</f>
        <v>0040023108</v>
      </c>
      <c r="E138" t="str">
        <f>CONCATENATE("0060105000215       ","")</f>
        <v>0060105000215       </v>
      </c>
      <c r="F138" t="str">
        <f>CONCATENATE("1764975","")</f>
        <v>1764975</v>
      </c>
      <c r="G138" t="s">
        <v>333</v>
      </c>
      <c r="H138" t="s">
        <v>342</v>
      </c>
      <c r="I138" t="s">
        <v>343</v>
      </c>
      <c r="J138" t="str">
        <f t="shared" si="16"/>
        <v>080601</v>
      </c>
      <c r="K138" t="s">
        <v>22</v>
      </c>
      <c r="L138" t="s">
        <v>23</v>
      </c>
      <c r="M138" t="str">
        <f t="shared" si="18"/>
        <v>1</v>
      </c>
      <c r="O138" t="str">
        <f t="shared" si="17"/>
        <v>1 </v>
      </c>
      <c r="P138">
        <v>38.75</v>
      </c>
      <c r="Q138" t="s">
        <v>24</v>
      </c>
    </row>
    <row r="139" spans="1:17" ht="15">
      <c r="A139" t="s">
        <v>17</v>
      </c>
      <c r="B139" s="1">
        <v>41831</v>
      </c>
      <c r="C139" t="s">
        <v>191</v>
      </c>
      <c r="D139" t="str">
        <f>CONCATENATE("0040001364","")</f>
        <v>0040001364</v>
      </c>
      <c r="E139" t="str">
        <f>CONCATENATE("0060105000240       ","")</f>
        <v>0060105000240       </v>
      </c>
      <c r="F139" t="str">
        <f>CONCATENATE("606593127","")</f>
        <v>606593127</v>
      </c>
      <c r="G139" t="s">
        <v>333</v>
      </c>
      <c r="H139" t="s">
        <v>344</v>
      </c>
      <c r="I139" t="s">
        <v>345</v>
      </c>
      <c r="J139" t="str">
        <f t="shared" si="16"/>
        <v>080601</v>
      </c>
      <c r="K139" t="s">
        <v>22</v>
      </c>
      <c r="L139" t="s">
        <v>23</v>
      </c>
      <c r="M139" t="str">
        <f t="shared" si="18"/>
        <v>1</v>
      </c>
      <c r="O139" t="str">
        <f t="shared" si="17"/>
        <v>1 </v>
      </c>
      <c r="P139">
        <v>27.25</v>
      </c>
      <c r="Q139" t="s">
        <v>24</v>
      </c>
    </row>
    <row r="140" spans="1:17" ht="15">
      <c r="A140" t="s">
        <v>17</v>
      </c>
      <c r="B140" s="1">
        <v>41831</v>
      </c>
      <c r="C140" t="s">
        <v>191</v>
      </c>
      <c r="D140" t="str">
        <f>CONCATENATE("0040001366","")</f>
        <v>0040001366</v>
      </c>
      <c r="E140" t="str">
        <f>CONCATENATE("0060105000260       ","")</f>
        <v>0060105000260       </v>
      </c>
      <c r="F140" t="str">
        <f>CONCATENATE("605232118","")</f>
        <v>605232118</v>
      </c>
      <c r="G140" t="s">
        <v>333</v>
      </c>
      <c r="H140" t="s">
        <v>346</v>
      </c>
      <c r="I140" t="s">
        <v>347</v>
      </c>
      <c r="J140" t="str">
        <f t="shared" si="16"/>
        <v>080601</v>
      </c>
      <c r="K140" t="s">
        <v>22</v>
      </c>
      <c r="L140" t="s">
        <v>23</v>
      </c>
      <c r="M140" t="str">
        <f t="shared" si="18"/>
        <v>1</v>
      </c>
      <c r="O140" t="str">
        <f t="shared" si="17"/>
        <v>1 </v>
      </c>
      <c r="P140">
        <v>167.65</v>
      </c>
      <c r="Q140" t="s">
        <v>24</v>
      </c>
    </row>
    <row r="141" spans="1:17" ht="15">
      <c r="A141" t="s">
        <v>17</v>
      </c>
      <c r="B141" s="1">
        <v>41831</v>
      </c>
      <c r="C141" t="s">
        <v>191</v>
      </c>
      <c r="D141" t="str">
        <f>CONCATENATE("0040023079","")</f>
        <v>0040023079</v>
      </c>
      <c r="E141" t="str">
        <f>CONCATENATE("0060105000306       ","")</f>
        <v>0060105000306       </v>
      </c>
      <c r="F141" t="str">
        <f>CONCATENATE("1762935","")</f>
        <v>1762935</v>
      </c>
      <c r="G141" t="s">
        <v>333</v>
      </c>
      <c r="H141" t="s">
        <v>348</v>
      </c>
      <c r="I141" t="s">
        <v>349</v>
      </c>
      <c r="J141" t="str">
        <f t="shared" si="16"/>
        <v>080601</v>
      </c>
      <c r="K141" t="s">
        <v>22</v>
      </c>
      <c r="L141" t="s">
        <v>23</v>
      </c>
      <c r="M141" t="str">
        <f t="shared" si="18"/>
        <v>1</v>
      </c>
      <c r="O141" t="str">
        <f t="shared" si="17"/>
        <v>1 </v>
      </c>
      <c r="P141">
        <v>24.35</v>
      </c>
      <c r="Q141" t="s">
        <v>24</v>
      </c>
    </row>
    <row r="142" spans="1:17" ht="15">
      <c r="A142" t="s">
        <v>17</v>
      </c>
      <c r="B142" s="1">
        <v>41831</v>
      </c>
      <c r="C142" t="s">
        <v>191</v>
      </c>
      <c r="D142" t="str">
        <f>CONCATENATE("0040001389","")</f>
        <v>0040001389</v>
      </c>
      <c r="E142" t="str">
        <f>CONCATENATE("0060105000470       ","")</f>
        <v>0060105000470       </v>
      </c>
      <c r="F142" t="str">
        <f>CONCATENATE("00005414853","")</f>
        <v>00005414853</v>
      </c>
      <c r="G142" t="s">
        <v>333</v>
      </c>
      <c r="H142" t="s">
        <v>350</v>
      </c>
      <c r="I142" t="s">
        <v>351</v>
      </c>
      <c r="J142" t="str">
        <f t="shared" si="16"/>
        <v>080601</v>
      </c>
      <c r="K142" t="s">
        <v>22</v>
      </c>
      <c r="L142" t="s">
        <v>23</v>
      </c>
      <c r="M142" t="str">
        <f t="shared" si="18"/>
        <v>1</v>
      </c>
      <c r="O142" t="str">
        <f t="shared" si="17"/>
        <v>1 </v>
      </c>
      <c r="P142">
        <v>256.1</v>
      </c>
      <c r="Q142" t="s">
        <v>24</v>
      </c>
    </row>
    <row r="143" spans="1:17" ht="15">
      <c r="A143" t="s">
        <v>17</v>
      </c>
      <c r="B143" s="1">
        <v>41831</v>
      </c>
      <c r="C143" t="s">
        <v>191</v>
      </c>
      <c r="D143" t="str">
        <f>CONCATENATE("0040015540","")</f>
        <v>0040015540</v>
      </c>
      <c r="E143" t="str">
        <f>CONCATENATE("0060105000531       ","")</f>
        <v>0060105000531       </v>
      </c>
      <c r="F143" t="str">
        <f>CONCATENATE("1258423","")</f>
        <v>1258423</v>
      </c>
      <c r="G143" t="s">
        <v>333</v>
      </c>
      <c r="H143" t="s">
        <v>352</v>
      </c>
      <c r="I143" t="s">
        <v>353</v>
      </c>
      <c r="J143" t="str">
        <f t="shared" si="16"/>
        <v>080601</v>
      </c>
      <c r="K143" t="s">
        <v>22</v>
      </c>
      <c r="L143" t="s">
        <v>23</v>
      </c>
      <c r="M143" t="str">
        <f>CONCATENATE("3","")</f>
        <v>3</v>
      </c>
      <c r="O143" t="str">
        <f t="shared" si="17"/>
        <v>1 </v>
      </c>
      <c r="P143">
        <v>59.85</v>
      </c>
      <c r="Q143" t="s">
        <v>326</v>
      </c>
    </row>
    <row r="144" spans="1:17" ht="15">
      <c r="A144" t="s">
        <v>17</v>
      </c>
      <c r="B144" s="1">
        <v>41831</v>
      </c>
      <c r="C144" t="s">
        <v>191</v>
      </c>
      <c r="D144" t="str">
        <f>CONCATENATE("0040027755","")</f>
        <v>0040027755</v>
      </c>
      <c r="E144" t="str">
        <f>CONCATENATE("0060105000569       ","")</f>
        <v>0060105000569       </v>
      </c>
      <c r="F144" t="str">
        <f>CONCATENATE("2120399","")</f>
        <v>2120399</v>
      </c>
      <c r="G144" t="s">
        <v>275</v>
      </c>
      <c r="H144" t="s">
        <v>354</v>
      </c>
      <c r="I144" t="s">
        <v>355</v>
      </c>
      <c r="J144" t="str">
        <f t="shared" si="16"/>
        <v>080601</v>
      </c>
      <c r="K144" t="s">
        <v>22</v>
      </c>
      <c r="L144" t="s">
        <v>23</v>
      </c>
      <c r="M144" t="str">
        <f aca="true" t="shared" si="19" ref="M144:M189">CONCATENATE("1","")</f>
        <v>1</v>
      </c>
      <c r="O144" t="str">
        <f t="shared" si="17"/>
        <v>1 </v>
      </c>
      <c r="P144">
        <v>106.1</v>
      </c>
      <c r="Q144" t="s">
        <v>24</v>
      </c>
    </row>
    <row r="145" spans="1:17" ht="15">
      <c r="A145" t="s">
        <v>17</v>
      </c>
      <c r="B145" s="1">
        <v>41831</v>
      </c>
      <c r="C145" t="s">
        <v>191</v>
      </c>
      <c r="D145" t="str">
        <f>CONCATENATE("0040009521","")</f>
        <v>0040009521</v>
      </c>
      <c r="E145" t="str">
        <f>CONCATENATE("0060105000767       ","")</f>
        <v>0060105000767       </v>
      </c>
      <c r="F145" t="str">
        <f>CONCATENATE("605232127","")</f>
        <v>605232127</v>
      </c>
      <c r="G145" t="s">
        <v>319</v>
      </c>
      <c r="H145" t="s">
        <v>356</v>
      </c>
      <c r="I145" t="s">
        <v>357</v>
      </c>
      <c r="J145" t="str">
        <f t="shared" si="16"/>
        <v>080601</v>
      </c>
      <c r="K145" t="s">
        <v>22</v>
      </c>
      <c r="L145" t="s">
        <v>23</v>
      </c>
      <c r="M145" t="str">
        <f t="shared" si="19"/>
        <v>1</v>
      </c>
      <c r="O145" t="str">
        <f t="shared" si="17"/>
        <v>1 </v>
      </c>
      <c r="P145">
        <v>106.4</v>
      </c>
      <c r="Q145" t="s">
        <v>24</v>
      </c>
    </row>
    <row r="146" spans="1:17" ht="15">
      <c r="A146" t="s">
        <v>17</v>
      </c>
      <c r="B146" s="1">
        <v>41831</v>
      </c>
      <c r="C146" t="s">
        <v>191</v>
      </c>
      <c r="D146" t="str">
        <f>CONCATENATE("0040001443","")</f>
        <v>0040001443</v>
      </c>
      <c r="E146" t="str">
        <f>CONCATENATE("0060105000800       ","")</f>
        <v>0060105000800       </v>
      </c>
      <c r="F146" t="str">
        <f>CONCATENATE("874603","")</f>
        <v>874603</v>
      </c>
      <c r="G146" t="s">
        <v>319</v>
      </c>
      <c r="H146" t="s">
        <v>358</v>
      </c>
      <c r="I146" t="s">
        <v>359</v>
      </c>
      <c r="J146" t="str">
        <f t="shared" si="16"/>
        <v>080601</v>
      </c>
      <c r="K146" t="s">
        <v>22</v>
      </c>
      <c r="L146" t="s">
        <v>23</v>
      </c>
      <c r="M146" t="str">
        <f t="shared" si="19"/>
        <v>1</v>
      </c>
      <c r="O146" t="str">
        <f t="shared" si="17"/>
        <v>1 </v>
      </c>
      <c r="P146">
        <v>424.25</v>
      </c>
      <c r="Q146" t="s">
        <v>24</v>
      </c>
    </row>
    <row r="147" spans="1:17" ht="15">
      <c r="A147" t="s">
        <v>17</v>
      </c>
      <c r="B147" s="1">
        <v>41831</v>
      </c>
      <c r="C147" t="s">
        <v>191</v>
      </c>
      <c r="D147" t="str">
        <f>CONCATENATE("0040019872","")</f>
        <v>0040019872</v>
      </c>
      <c r="E147" t="str">
        <f>CONCATENATE("0060105001196       ","")</f>
        <v>0060105001196       </v>
      </c>
      <c r="F147" t="str">
        <f>CONCATENATE("605624406","")</f>
        <v>605624406</v>
      </c>
      <c r="G147" t="s">
        <v>316</v>
      </c>
      <c r="H147" t="s">
        <v>360</v>
      </c>
      <c r="I147" t="s">
        <v>361</v>
      </c>
      <c r="J147" t="str">
        <f t="shared" si="16"/>
        <v>080601</v>
      </c>
      <c r="K147" t="s">
        <v>22</v>
      </c>
      <c r="L147" t="s">
        <v>23</v>
      </c>
      <c r="M147" t="str">
        <f t="shared" si="19"/>
        <v>1</v>
      </c>
      <c r="O147" t="str">
        <f t="shared" si="17"/>
        <v>1 </v>
      </c>
      <c r="P147">
        <v>9.7</v>
      </c>
      <c r="Q147" t="s">
        <v>24</v>
      </c>
    </row>
    <row r="148" spans="1:17" ht="15">
      <c r="A148" t="s">
        <v>17</v>
      </c>
      <c r="B148" s="1">
        <v>41831</v>
      </c>
      <c r="C148" t="s">
        <v>191</v>
      </c>
      <c r="D148" t="str">
        <f>CONCATENATE("0040001532","")</f>
        <v>0040001532</v>
      </c>
      <c r="E148" t="str">
        <f>CONCATENATE("0060106000295       ","")</f>
        <v>0060106000295       </v>
      </c>
      <c r="F148" t="str">
        <f>CONCATENATE("0605347691","")</f>
        <v>0605347691</v>
      </c>
      <c r="G148" t="s">
        <v>316</v>
      </c>
      <c r="H148" t="s">
        <v>362</v>
      </c>
      <c r="I148" t="s">
        <v>363</v>
      </c>
      <c r="J148" t="str">
        <f t="shared" si="16"/>
        <v>080601</v>
      </c>
      <c r="K148" t="s">
        <v>22</v>
      </c>
      <c r="L148" t="s">
        <v>23</v>
      </c>
      <c r="M148" t="str">
        <f t="shared" si="19"/>
        <v>1</v>
      </c>
      <c r="O148" t="str">
        <f t="shared" si="17"/>
        <v>1 </v>
      </c>
      <c r="P148">
        <v>16.3</v>
      </c>
      <c r="Q148" t="s">
        <v>24</v>
      </c>
    </row>
    <row r="149" spans="1:17" ht="15">
      <c r="A149" t="s">
        <v>17</v>
      </c>
      <c r="B149" s="1">
        <v>41831</v>
      </c>
      <c r="C149" t="s">
        <v>191</v>
      </c>
      <c r="D149" t="str">
        <f>CONCATENATE("0040001537","")</f>
        <v>0040001537</v>
      </c>
      <c r="E149" t="str">
        <f>CONCATENATE("0060106000335       ","")</f>
        <v>0060106000335       </v>
      </c>
      <c r="F149" t="str">
        <f>CONCATENATE("605056867","")</f>
        <v>605056867</v>
      </c>
      <c r="G149" t="s">
        <v>316</v>
      </c>
      <c r="H149" t="s">
        <v>364</v>
      </c>
      <c r="I149" t="s">
        <v>365</v>
      </c>
      <c r="J149" t="str">
        <f t="shared" si="16"/>
        <v>080601</v>
      </c>
      <c r="K149" t="s">
        <v>22</v>
      </c>
      <c r="L149" t="s">
        <v>23</v>
      </c>
      <c r="M149" t="str">
        <f t="shared" si="19"/>
        <v>1</v>
      </c>
      <c r="O149" t="str">
        <f t="shared" si="17"/>
        <v>1 </v>
      </c>
      <c r="P149">
        <v>11.4</v>
      </c>
      <c r="Q149" t="s">
        <v>24</v>
      </c>
    </row>
    <row r="150" spans="1:17" ht="15">
      <c r="A150" t="s">
        <v>17</v>
      </c>
      <c r="B150" s="1">
        <v>41831</v>
      </c>
      <c r="C150" t="s">
        <v>191</v>
      </c>
      <c r="D150" t="str">
        <f>CONCATENATE("0040001540","")</f>
        <v>0040001540</v>
      </c>
      <c r="E150" t="str">
        <f>CONCATENATE("0060106000355       ","")</f>
        <v>0060106000355       </v>
      </c>
      <c r="F150" t="str">
        <f>CONCATENATE("0605347697","")</f>
        <v>0605347697</v>
      </c>
      <c r="G150" t="s">
        <v>316</v>
      </c>
      <c r="H150" t="s">
        <v>366</v>
      </c>
      <c r="I150" t="s">
        <v>365</v>
      </c>
      <c r="J150" t="str">
        <f t="shared" si="16"/>
        <v>080601</v>
      </c>
      <c r="K150" t="s">
        <v>22</v>
      </c>
      <c r="L150" t="s">
        <v>23</v>
      </c>
      <c r="M150" t="str">
        <f t="shared" si="19"/>
        <v>1</v>
      </c>
      <c r="O150" t="str">
        <f t="shared" si="17"/>
        <v>1 </v>
      </c>
      <c r="P150">
        <v>21.55</v>
      </c>
      <c r="Q150" t="s">
        <v>24</v>
      </c>
    </row>
    <row r="151" spans="1:17" ht="15">
      <c r="A151" t="s">
        <v>17</v>
      </c>
      <c r="B151" s="1">
        <v>41831</v>
      </c>
      <c r="C151" t="s">
        <v>191</v>
      </c>
      <c r="D151" t="str">
        <f>CONCATENATE("0040001544","")</f>
        <v>0040001544</v>
      </c>
      <c r="E151" t="str">
        <f>CONCATENATE("0060106000363       ","")</f>
        <v>0060106000363       </v>
      </c>
      <c r="F151" t="str">
        <f>CONCATENATE("605118590","")</f>
        <v>605118590</v>
      </c>
      <c r="G151" t="s">
        <v>316</v>
      </c>
      <c r="H151" t="s">
        <v>367</v>
      </c>
      <c r="I151" t="s">
        <v>368</v>
      </c>
      <c r="J151" t="str">
        <f t="shared" si="16"/>
        <v>080601</v>
      </c>
      <c r="K151" t="s">
        <v>22</v>
      </c>
      <c r="L151" t="s">
        <v>23</v>
      </c>
      <c r="M151" t="str">
        <f t="shared" si="19"/>
        <v>1</v>
      </c>
      <c r="O151" t="str">
        <f t="shared" si="17"/>
        <v>1 </v>
      </c>
      <c r="P151">
        <v>34.25</v>
      </c>
      <c r="Q151" t="s">
        <v>24</v>
      </c>
    </row>
    <row r="152" spans="1:17" ht="15">
      <c r="A152" t="s">
        <v>17</v>
      </c>
      <c r="B152" s="1">
        <v>41831</v>
      </c>
      <c r="C152" t="s">
        <v>191</v>
      </c>
      <c r="D152" t="str">
        <f>CONCATENATE("0040001588","")</f>
        <v>0040001588</v>
      </c>
      <c r="E152" t="str">
        <f>CONCATENATE("0060106000695       ","")</f>
        <v>0060106000695       </v>
      </c>
      <c r="F152" t="str">
        <f>CONCATENATE("0605347701","")</f>
        <v>0605347701</v>
      </c>
      <c r="G152" t="s">
        <v>369</v>
      </c>
      <c r="H152" t="s">
        <v>370</v>
      </c>
      <c r="I152" t="s">
        <v>371</v>
      </c>
      <c r="J152" t="str">
        <f t="shared" si="16"/>
        <v>080601</v>
      </c>
      <c r="K152" t="s">
        <v>22</v>
      </c>
      <c r="L152" t="s">
        <v>23</v>
      </c>
      <c r="M152" t="str">
        <f t="shared" si="19"/>
        <v>1</v>
      </c>
      <c r="O152" t="str">
        <f t="shared" si="17"/>
        <v>1 </v>
      </c>
      <c r="P152">
        <v>65</v>
      </c>
      <c r="Q152" t="s">
        <v>24</v>
      </c>
    </row>
    <row r="153" spans="1:17" ht="15">
      <c r="A153" t="s">
        <v>17</v>
      </c>
      <c r="B153" s="1">
        <v>41831</v>
      </c>
      <c r="C153" t="s">
        <v>191</v>
      </c>
      <c r="D153" t="str">
        <f>CONCATENATE("0040017300","")</f>
        <v>0040017300</v>
      </c>
      <c r="E153" t="str">
        <f>CONCATENATE("0060106000710       ","")</f>
        <v>0060106000710       </v>
      </c>
      <c r="F153" t="str">
        <f>CONCATENATE("4426","")</f>
        <v>4426</v>
      </c>
      <c r="G153" t="s">
        <v>369</v>
      </c>
      <c r="H153" t="s">
        <v>372</v>
      </c>
      <c r="I153" t="s">
        <v>373</v>
      </c>
      <c r="J153" t="str">
        <f t="shared" si="16"/>
        <v>080601</v>
      </c>
      <c r="K153" t="s">
        <v>22</v>
      </c>
      <c r="L153" t="s">
        <v>23</v>
      </c>
      <c r="M153" t="str">
        <f t="shared" si="19"/>
        <v>1</v>
      </c>
      <c r="O153" t="str">
        <f t="shared" si="17"/>
        <v>1 </v>
      </c>
      <c r="P153">
        <v>41.8</v>
      </c>
      <c r="Q153" t="s">
        <v>24</v>
      </c>
    </row>
    <row r="154" spans="1:17" ht="15">
      <c r="A154" t="s">
        <v>17</v>
      </c>
      <c r="B154" s="1">
        <v>41831</v>
      </c>
      <c r="C154" t="s">
        <v>191</v>
      </c>
      <c r="D154" t="str">
        <f>CONCATENATE("0040001629","")</f>
        <v>0040001629</v>
      </c>
      <c r="E154" t="str">
        <f>CONCATENATE("0060106000970       ","")</f>
        <v>0060106000970       </v>
      </c>
      <c r="F154" t="str">
        <f>CONCATENATE("605350390","")</f>
        <v>605350390</v>
      </c>
      <c r="G154" t="s">
        <v>369</v>
      </c>
      <c r="H154" t="s">
        <v>374</v>
      </c>
      <c r="I154" t="s">
        <v>375</v>
      </c>
      <c r="J154" t="str">
        <f t="shared" si="16"/>
        <v>080601</v>
      </c>
      <c r="K154" t="s">
        <v>22</v>
      </c>
      <c r="L154" t="s">
        <v>23</v>
      </c>
      <c r="M154" t="str">
        <f t="shared" si="19"/>
        <v>1</v>
      </c>
      <c r="O154" t="str">
        <f t="shared" si="17"/>
        <v>1 </v>
      </c>
      <c r="P154">
        <v>32.45</v>
      </c>
      <c r="Q154" t="s">
        <v>24</v>
      </c>
    </row>
    <row r="155" spans="1:17" ht="15">
      <c r="A155" t="s">
        <v>17</v>
      </c>
      <c r="B155" s="1">
        <v>41831</v>
      </c>
      <c r="C155" t="s">
        <v>191</v>
      </c>
      <c r="D155" t="str">
        <f>CONCATENATE("0040026738","")</f>
        <v>0040026738</v>
      </c>
      <c r="E155" t="str">
        <f>CONCATENATE("0060106001081       ","")</f>
        <v>0060106001081       </v>
      </c>
      <c r="F155" t="str">
        <f>CONCATENATE("1863545","")</f>
        <v>1863545</v>
      </c>
      <c r="G155" t="s">
        <v>226</v>
      </c>
      <c r="H155" t="s">
        <v>376</v>
      </c>
      <c r="I155" t="s">
        <v>377</v>
      </c>
      <c r="J155" t="str">
        <f t="shared" si="16"/>
        <v>080601</v>
      </c>
      <c r="K155" t="s">
        <v>22</v>
      </c>
      <c r="L155" t="s">
        <v>23</v>
      </c>
      <c r="M155" t="str">
        <f t="shared" si="19"/>
        <v>1</v>
      </c>
      <c r="O155" t="str">
        <f t="shared" si="17"/>
        <v>1 </v>
      </c>
      <c r="P155">
        <v>27.9</v>
      </c>
      <c r="Q155" t="s">
        <v>24</v>
      </c>
    </row>
    <row r="156" spans="1:17" ht="15">
      <c r="A156" t="s">
        <v>17</v>
      </c>
      <c r="B156" s="1">
        <v>41831</v>
      </c>
      <c r="C156" t="s">
        <v>191</v>
      </c>
      <c r="D156" t="str">
        <f>CONCATENATE("0040001640","")</f>
        <v>0040001640</v>
      </c>
      <c r="E156" t="str">
        <f>CONCATENATE("0060106001110       ","")</f>
        <v>0060106001110       </v>
      </c>
      <c r="F156" t="str">
        <f>CONCATENATE("07553866","")</f>
        <v>07553866</v>
      </c>
      <c r="G156" t="s">
        <v>226</v>
      </c>
      <c r="H156" t="s">
        <v>378</v>
      </c>
      <c r="I156" t="s">
        <v>379</v>
      </c>
      <c r="J156" t="str">
        <f t="shared" si="16"/>
        <v>080601</v>
      </c>
      <c r="K156" t="s">
        <v>22</v>
      </c>
      <c r="L156" t="s">
        <v>23</v>
      </c>
      <c r="M156" t="str">
        <f t="shared" si="19"/>
        <v>1</v>
      </c>
      <c r="O156" t="str">
        <f t="shared" si="17"/>
        <v>1 </v>
      </c>
      <c r="P156">
        <v>88.05</v>
      </c>
      <c r="Q156" t="s">
        <v>24</v>
      </c>
    </row>
    <row r="157" spans="1:17" ht="15">
      <c r="A157" t="s">
        <v>17</v>
      </c>
      <c r="B157" s="1">
        <v>41831</v>
      </c>
      <c r="C157" t="s">
        <v>191</v>
      </c>
      <c r="D157" t="str">
        <f>CONCATENATE("0040007578","")</f>
        <v>0040007578</v>
      </c>
      <c r="E157" t="str">
        <f>CONCATENATE("0060106001200       ","")</f>
        <v>0060106001200       </v>
      </c>
      <c r="F157" t="str">
        <f>CONCATENATE("605055883","")</f>
        <v>605055883</v>
      </c>
      <c r="G157" t="s">
        <v>369</v>
      </c>
      <c r="H157" t="s">
        <v>380</v>
      </c>
      <c r="I157" t="s">
        <v>381</v>
      </c>
      <c r="J157" t="str">
        <f t="shared" si="16"/>
        <v>080601</v>
      </c>
      <c r="K157" t="s">
        <v>22</v>
      </c>
      <c r="L157" t="s">
        <v>23</v>
      </c>
      <c r="M157" t="str">
        <f t="shared" si="19"/>
        <v>1</v>
      </c>
      <c r="O157" t="str">
        <f t="shared" si="17"/>
        <v>1 </v>
      </c>
      <c r="P157">
        <v>16.2</v>
      </c>
      <c r="Q157" t="s">
        <v>24</v>
      </c>
    </row>
    <row r="158" spans="1:17" ht="15">
      <c r="A158" t="s">
        <v>17</v>
      </c>
      <c r="B158" s="1">
        <v>41831</v>
      </c>
      <c r="C158" t="s">
        <v>191</v>
      </c>
      <c r="D158" t="str">
        <f>CONCATENATE("0040001652","")</f>
        <v>0040001652</v>
      </c>
      <c r="E158" t="str">
        <f>CONCATENATE("0060107000050       ","")</f>
        <v>0060107000050       </v>
      </c>
      <c r="F158" t="str">
        <f>CONCATENATE("605348267","")</f>
        <v>605348267</v>
      </c>
      <c r="G158" t="s">
        <v>222</v>
      </c>
      <c r="H158" t="s">
        <v>382</v>
      </c>
      <c r="I158" t="s">
        <v>383</v>
      </c>
      <c r="J158" t="str">
        <f t="shared" si="16"/>
        <v>080601</v>
      </c>
      <c r="K158" t="s">
        <v>22</v>
      </c>
      <c r="L158" t="s">
        <v>23</v>
      </c>
      <c r="M158" t="str">
        <f t="shared" si="19"/>
        <v>1</v>
      </c>
      <c r="O158" t="str">
        <f t="shared" si="17"/>
        <v>1 </v>
      </c>
      <c r="P158">
        <v>133.85</v>
      </c>
      <c r="Q158" t="s">
        <v>24</v>
      </c>
    </row>
    <row r="159" spans="1:17" ht="15">
      <c r="A159" t="s">
        <v>17</v>
      </c>
      <c r="B159" s="1">
        <v>41831</v>
      </c>
      <c r="C159" t="s">
        <v>191</v>
      </c>
      <c r="D159" t="str">
        <f>CONCATENATE("0040001657","")</f>
        <v>0040001657</v>
      </c>
      <c r="E159" t="str">
        <f>CONCATENATE("0060107000100       ","")</f>
        <v>0060107000100       </v>
      </c>
      <c r="F159" t="str">
        <f>CONCATENATE("605555922","")</f>
        <v>605555922</v>
      </c>
      <c r="G159" t="s">
        <v>222</v>
      </c>
      <c r="H159" t="s">
        <v>384</v>
      </c>
      <c r="I159" t="s">
        <v>385</v>
      </c>
      <c r="J159" t="str">
        <f t="shared" si="16"/>
        <v>080601</v>
      </c>
      <c r="K159" t="s">
        <v>22</v>
      </c>
      <c r="L159" t="s">
        <v>23</v>
      </c>
      <c r="M159" t="str">
        <f t="shared" si="19"/>
        <v>1</v>
      </c>
      <c r="O159" t="str">
        <f t="shared" si="17"/>
        <v>1 </v>
      </c>
      <c r="P159">
        <v>69.75</v>
      </c>
      <c r="Q159" t="s">
        <v>24</v>
      </c>
    </row>
    <row r="160" spans="1:17" ht="15">
      <c r="A160" t="s">
        <v>17</v>
      </c>
      <c r="B160" s="1">
        <v>41831</v>
      </c>
      <c r="C160" t="s">
        <v>191</v>
      </c>
      <c r="D160" t="str">
        <f>CONCATENATE("0040012078","")</f>
        <v>0040012078</v>
      </c>
      <c r="E160" t="str">
        <f>CONCATENATE("0060107000627       ","")</f>
        <v>0060107000627       </v>
      </c>
      <c r="F160" t="str">
        <f>CONCATENATE("00364120","")</f>
        <v>00364120</v>
      </c>
      <c r="G160" t="s">
        <v>369</v>
      </c>
      <c r="H160" t="s">
        <v>386</v>
      </c>
      <c r="I160" t="s">
        <v>387</v>
      </c>
      <c r="J160" t="str">
        <f t="shared" si="16"/>
        <v>080601</v>
      </c>
      <c r="K160" t="s">
        <v>22</v>
      </c>
      <c r="L160" t="s">
        <v>23</v>
      </c>
      <c r="M160" t="str">
        <f t="shared" si="19"/>
        <v>1</v>
      </c>
      <c r="O160" t="str">
        <f t="shared" si="17"/>
        <v>1 </v>
      </c>
      <c r="P160">
        <v>78.25</v>
      </c>
      <c r="Q160" t="s">
        <v>24</v>
      </c>
    </row>
    <row r="161" spans="1:17" ht="15">
      <c r="A161" t="s">
        <v>17</v>
      </c>
      <c r="B161" s="1">
        <v>41831</v>
      </c>
      <c r="C161" t="s">
        <v>191</v>
      </c>
      <c r="D161" t="str">
        <f>CONCATENATE("0040001793","")</f>
        <v>0040001793</v>
      </c>
      <c r="E161" t="str">
        <f>CONCATENATE("0060107001300       ","")</f>
        <v>0060107001300       </v>
      </c>
      <c r="F161" t="str">
        <f>CONCATENATE("605118609","")</f>
        <v>605118609</v>
      </c>
      <c r="G161" t="s">
        <v>287</v>
      </c>
      <c r="H161" t="s">
        <v>388</v>
      </c>
      <c r="I161" t="s">
        <v>389</v>
      </c>
      <c r="J161" t="str">
        <f t="shared" si="16"/>
        <v>080601</v>
      </c>
      <c r="K161" t="s">
        <v>22</v>
      </c>
      <c r="L161" t="s">
        <v>23</v>
      </c>
      <c r="M161" t="str">
        <f t="shared" si="19"/>
        <v>1</v>
      </c>
      <c r="O161" t="str">
        <f t="shared" si="17"/>
        <v>1 </v>
      </c>
      <c r="P161">
        <v>464.2</v>
      </c>
      <c r="Q161" t="s">
        <v>24</v>
      </c>
    </row>
    <row r="162" spans="1:17" ht="15">
      <c r="A162" t="s">
        <v>17</v>
      </c>
      <c r="B162" s="1">
        <v>41831</v>
      </c>
      <c r="C162" t="s">
        <v>191</v>
      </c>
      <c r="D162" t="str">
        <f>CONCATENATE("0040012720","")</f>
        <v>0040012720</v>
      </c>
      <c r="E162" t="str">
        <f>CONCATENATE("0060107001324       ","")</f>
        <v>0060107001324       </v>
      </c>
      <c r="F162" t="str">
        <f>CONCATENATE("605555935","")</f>
        <v>605555935</v>
      </c>
      <c r="G162" t="s">
        <v>226</v>
      </c>
      <c r="H162" t="s">
        <v>390</v>
      </c>
      <c r="I162" t="s">
        <v>391</v>
      </c>
      <c r="J162" t="str">
        <f t="shared" si="16"/>
        <v>080601</v>
      </c>
      <c r="K162" t="s">
        <v>22</v>
      </c>
      <c r="L162" t="s">
        <v>23</v>
      </c>
      <c r="M162" t="str">
        <f t="shared" si="19"/>
        <v>1</v>
      </c>
      <c r="O162" t="str">
        <f t="shared" si="17"/>
        <v>1 </v>
      </c>
      <c r="P162">
        <v>41.35</v>
      </c>
      <c r="Q162" t="s">
        <v>24</v>
      </c>
    </row>
    <row r="163" spans="1:17" ht="15">
      <c r="A163" t="s">
        <v>17</v>
      </c>
      <c r="B163" s="1">
        <v>41831</v>
      </c>
      <c r="C163" t="s">
        <v>191</v>
      </c>
      <c r="D163" t="str">
        <f>CONCATENATE("0040001817","")</f>
        <v>0040001817</v>
      </c>
      <c r="E163" t="str">
        <f>CONCATENATE("0060107001480       ","")</f>
        <v>0060107001480       </v>
      </c>
      <c r="F163" t="str">
        <f>CONCATENATE("605283254","")</f>
        <v>605283254</v>
      </c>
      <c r="G163" t="s">
        <v>369</v>
      </c>
      <c r="H163" t="s">
        <v>392</v>
      </c>
      <c r="I163" t="s">
        <v>393</v>
      </c>
      <c r="J163" t="str">
        <f t="shared" si="16"/>
        <v>080601</v>
      </c>
      <c r="K163" t="s">
        <v>22</v>
      </c>
      <c r="L163" t="s">
        <v>23</v>
      </c>
      <c r="M163" t="str">
        <f t="shared" si="19"/>
        <v>1</v>
      </c>
      <c r="O163" t="str">
        <f t="shared" si="17"/>
        <v>1 </v>
      </c>
      <c r="P163">
        <v>24.7</v>
      </c>
      <c r="Q163" t="s">
        <v>24</v>
      </c>
    </row>
    <row r="164" spans="1:17" ht="15">
      <c r="A164" t="s">
        <v>17</v>
      </c>
      <c r="B164" s="1">
        <v>41831</v>
      </c>
      <c r="C164" t="s">
        <v>191</v>
      </c>
      <c r="D164" t="str">
        <f>CONCATENATE("0040001830","")</f>
        <v>0040001830</v>
      </c>
      <c r="E164" t="str">
        <f>CONCATENATE("0060107001600       ","")</f>
        <v>0060107001600       </v>
      </c>
      <c r="F164" t="str">
        <f>CONCATENATE("00000007555","")</f>
        <v>00000007555</v>
      </c>
      <c r="G164" t="s">
        <v>369</v>
      </c>
      <c r="H164" t="s">
        <v>394</v>
      </c>
      <c r="I164" t="s">
        <v>395</v>
      </c>
      <c r="J164" t="str">
        <f t="shared" si="16"/>
        <v>080601</v>
      </c>
      <c r="K164" t="s">
        <v>22</v>
      </c>
      <c r="L164" t="s">
        <v>23</v>
      </c>
      <c r="M164" t="str">
        <f t="shared" si="19"/>
        <v>1</v>
      </c>
      <c r="O164" t="str">
        <f t="shared" si="17"/>
        <v>1 </v>
      </c>
      <c r="P164">
        <v>13.25</v>
      </c>
      <c r="Q164" t="s">
        <v>24</v>
      </c>
    </row>
    <row r="165" spans="1:17" ht="15">
      <c r="A165" t="s">
        <v>17</v>
      </c>
      <c r="B165" s="1">
        <v>41831</v>
      </c>
      <c r="C165" t="s">
        <v>191</v>
      </c>
      <c r="D165" t="str">
        <f>CONCATENATE("0040001852","")</f>
        <v>0040001852</v>
      </c>
      <c r="E165" t="str">
        <f>CONCATENATE("0060107001805       ","")</f>
        <v>0060107001805       </v>
      </c>
      <c r="F165" t="str">
        <f>CONCATENATE("605055978","")</f>
        <v>605055978</v>
      </c>
      <c r="G165" t="s">
        <v>369</v>
      </c>
      <c r="H165" t="s">
        <v>396</v>
      </c>
      <c r="I165" t="s">
        <v>397</v>
      </c>
      <c r="J165" t="str">
        <f t="shared" si="16"/>
        <v>080601</v>
      </c>
      <c r="K165" t="s">
        <v>22</v>
      </c>
      <c r="L165" t="s">
        <v>23</v>
      </c>
      <c r="M165" t="str">
        <f t="shared" si="19"/>
        <v>1</v>
      </c>
      <c r="O165" t="str">
        <f aca="true" t="shared" si="20" ref="O165:O194">CONCATENATE("1 ","")</f>
        <v>1 </v>
      </c>
      <c r="P165">
        <v>189.85</v>
      </c>
      <c r="Q165" t="s">
        <v>24</v>
      </c>
    </row>
    <row r="166" spans="1:17" ht="15">
      <c r="A166" t="s">
        <v>17</v>
      </c>
      <c r="B166" s="1">
        <v>41831</v>
      </c>
      <c r="C166" t="s">
        <v>191</v>
      </c>
      <c r="D166" t="str">
        <f>CONCATENATE("0040001865","")</f>
        <v>0040001865</v>
      </c>
      <c r="E166" t="str">
        <f>CONCATENATE("0060107001925       ","")</f>
        <v>0060107001925       </v>
      </c>
      <c r="F166" t="str">
        <f>CONCATENATE("01631914","")</f>
        <v>01631914</v>
      </c>
      <c r="G166" t="s">
        <v>226</v>
      </c>
      <c r="H166" t="s">
        <v>398</v>
      </c>
      <c r="I166" t="s">
        <v>399</v>
      </c>
      <c r="J166" t="str">
        <f t="shared" si="16"/>
        <v>080601</v>
      </c>
      <c r="K166" t="s">
        <v>22</v>
      </c>
      <c r="L166" t="s">
        <v>23</v>
      </c>
      <c r="M166" t="str">
        <f t="shared" si="19"/>
        <v>1</v>
      </c>
      <c r="O166" t="str">
        <f t="shared" si="20"/>
        <v>1 </v>
      </c>
      <c r="P166">
        <v>62.45</v>
      </c>
      <c r="Q166" t="s">
        <v>24</v>
      </c>
    </row>
    <row r="167" spans="1:17" ht="15">
      <c r="A167" t="s">
        <v>17</v>
      </c>
      <c r="B167" s="1">
        <v>41831</v>
      </c>
      <c r="C167" t="s">
        <v>191</v>
      </c>
      <c r="D167" t="str">
        <f>CONCATENATE("0040018114","")</f>
        <v>0040018114</v>
      </c>
      <c r="E167" t="str">
        <f>CONCATENATE("0060108000045       ","")</f>
        <v>0060108000045       </v>
      </c>
      <c r="F167" t="str">
        <f>CONCATENATE("1427686","")</f>
        <v>1427686</v>
      </c>
      <c r="G167" t="s">
        <v>226</v>
      </c>
      <c r="H167" t="s">
        <v>400</v>
      </c>
      <c r="I167" t="s">
        <v>401</v>
      </c>
      <c r="J167" t="str">
        <f t="shared" si="16"/>
        <v>080601</v>
      </c>
      <c r="K167" t="s">
        <v>22</v>
      </c>
      <c r="L167" t="s">
        <v>23</v>
      </c>
      <c r="M167" t="str">
        <f t="shared" si="19"/>
        <v>1</v>
      </c>
      <c r="O167" t="str">
        <f t="shared" si="20"/>
        <v>1 </v>
      </c>
      <c r="P167">
        <v>31.2</v>
      </c>
      <c r="Q167" t="s">
        <v>24</v>
      </c>
    </row>
    <row r="168" spans="1:17" ht="15">
      <c r="A168" t="s">
        <v>17</v>
      </c>
      <c r="B168" s="1">
        <v>41831</v>
      </c>
      <c r="C168" t="s">
        <v>191</v>
      </c>
      <c r="D168" t="str">
        <f>CONCATENATE("0040012956","")</f>
        <v>0040012956</v>
      </c>
      <c r="E168" t="str">
        <f>CONCATENATE("0060108000115       ","")</f>
        <v>0060108000115       </v>
      </c>
      <c r="F168" t="str">
        <f>CONCATENATE("605391928","")</f>
        <v>605391928</v>
      </c>
      <c r="G168" t="s">
        <v>226</v>
      </c>
      <c r="H168" t="s">
        <v>402</v>
      </c>
      <c r="I168" t="s">
        <v>403</v>
      </c>
      <c r="J168" t="str">
        <f t="shared" si="16"/>
        <v>080601</v>
      </c>
      <c r="K168" t="s">
        <v>22</v>
      </c>
      <c r="L168" t="s">
        <v>23</v>
      </c>
      <c r="M168" t="str">
        <f t="shared" si="19"/>
        <v>1</v>
      </c>
      <c r="O168" t="str">
        <f t="shared" si="20"/>
        <v>1 </v>
      </c>
      <c r="P168">
        <v>81.3</v>
      </c>
      <c r="Q168" t="s">
        <v>24</v>
      </c>
    </row>
    <row r="169" spans="1:17" ht="15">
      <c r="A169" t="s">
        <v>17</v>
      </c>
      <c r="B169" s="1">
        <v>41831</v>
      </c>
      <c r="C169" t="s">
        <v>191</v>
      </c>
      <c r="D169" t="str">
        <f>CONCATENATE("0040020047","")</f>
        <v>0040020047</v>
      </c>
      <c r="E169" t="str">
        <f>CONCATENATE("0060108000475       ","")</f>
        <v>0060108000475       </v>
      </c>
      <c r="F169" t="str">
        <f>CONCATENATE("605747961","")</f>
        <v>605747961</v>
      </c>
      <c r="G169" t="s">
        <v>226</v>
      </c>
      <c r="H169" t="s">
        <v>404</v>
      </c>
      <c r="I169" t="s">
        <v>405</v>
      </c>
      <c r="J169" t="str">
        <f t="shared" si="16"/>
        <v>080601</v>
      </c>
      <c r="K169" t="s">
        <v>22</v>
      </c>
      <c r="L169" t="s">
        <v>23</v>
      </c>
      <c r="M169" t="str">
        <f t="shared" si="19"/>
        <v>1</v>
      </c>
      <c r="O169" t="str">
        <f t="shared" si="20"/>
        <v>1 </v>
      </c>
      <c r="P169">
        <v>25.6</v>
      </c>
      <c r="Q169" t="s">
        <v>24</v>
      </c>
    </row>
    <row r="170" spans="1:17" ht="15">
      <c r="A170" t="s">
        <v>17</v>
      </c>
      <c r="B170" s="1">
        <v>41831</v>
      </c>
      <c r="C170" t="s">
        <v>191</v>
      </c>
      <c r="D170" t="str">
        <f>CONCATENATE("0040001958","")</f>
        <v>0040001958</v>
      </c>
      <c r="E170" t="str">
        <f>CONCATENATE("0060108000900       ","")</f>
        <v>0060108000900       </v>
      </c>
      <c r="F170" t="str">
        <f>CONCATENATE("605055971","")</f>
        <v>605055971</v>
      </c>
      <c r="G170" t="s">
        <v>230</v>
      </c>
      <c r="H170" t="s">
        <v>406</v>
      </c>
      <c r="I170" t="s">
        <v>407</v>
      </c>
      <c r="J170" t="str">
        <f t="shared" si="16"/>
        <v>080601</v>
      </c>
      <c r="K170" t="s">
        <v>22</v>
      </c>
      <c r="L170" t="s">
        <v>23</v>
      </c>
      <c r="M170" t="str">
        <f t="shared" si="19"/>
        <v>1</v>
      </c>
      <c r="O170" t="str">
        <f t="shared" si="20"/>
        <v>1 </v>
      </c>
      <c r="P170">
        <v>157.4</v>
      </c>
      <c r="Q170" t="s">
        <v>24</v>
      </c>
    </row>
    <row r="171" spans="1:17" ht="15">
      <c r="A171" t="s">
        <v>17</v>
      </c>
      <c r="B171" s="1">
        <v>41831</v>
      </c>
      <c r="C171" t="s">
        <v>191</v>
      </c>
      <c r="D171" t="str">
        <f>CONCATENATE("0040009477","")</f>
        <v>0040009477</v>
      </c>
      <c r="E171" t="str">
        <f>CONCATENATE("0060108001115       ","")</f>
        <v>0060108001115       </v>
      </c>
      <c r="F171" t="str">
        <f>CONCATENATE("0606672925","")</f>
        <v>0606672925</v>
      </c>
      <c r="G171" t="s">
        <v>233</v>
      </c>
      <c r="H171" t="s">
        <v>408</v>
      </c>
      <c r="I171" t="s">
        <v>409</v>
      </c>
      <c r="J171" t="str">
        <f t="shared" si="16"/>
        <v>080601</v>
      </c>
      <c r="K171" t="s">
        <v>22</v>
      </c>
      <c r="L171" t="s">
        <v>23</v>
      </c>
      <c r="M171" t="str">
        <f t="shared" si="19"/>
        <v>1</v>
      </c>
      <c r="O171" t="str">
        <f t="shared" si="20"/>
        <v>1 </v>
      </c>
      <c r="P171">
        <v>60.65</v>
      </c>
      <c r="Q171" t="s">
        <v>24</v>
      </c>
    </row>
    <row r="172" spans="1:17" ht="15">
      <c r="A172" t="s">
        <v>17</v>
      </c>
      <c r="B172" s="1">
        <v>41831</v>
      </c>
      <c r="C172" t="s">
        <v>191</v>
      </c>
      <c r="D172" t="str">
        <f>CONCATENATE("0040002016","")</f>
        <v>0040002016</v>
      </c>
      <c r="E172" t="str">
        <f>CONCATENATE("0060109000140       ","")</f>
        <v>0060109000140       </v>
      </c>
      <c r="F172" t="str">
        <f>CONCATENATE("606592968","")</f>
        <v>606592968</v>
      </c>
      <c r="G172" t="s">
        <v>226</v>
      </c>
      <c r="H172" t="s">
        <v>410</v>
      </c>
      <c r="I172" t="s">
        <v>411</v>
      </c>
      <c r="J172" t="str">
        <f t="shared" si="16"/>
        <v>080601</v>
      </c>
      <c r="K172" t="s">
        <v>22</v>
      </c>
      <c r="L172" t="s">
        <v>23</v>
      </c>
      <c r="M172" t="str">
        <f t="shared" si="19"/>
        <v>1</v>
      </c>
      <c r="O172" t="str">
        <f t="shared" si="20"/>
        <v>1 </v>
      </c>
      <c r="P172">
        <v>87.2</v>
      </c>
      <c r="Q172" t="s">
        <v>24</v>
      </c>
    </row>
    <row r="173" spans="1:17" ht="15">
      <c r="A173" t="s">
        <v>17</v>
      </c>
      <c r="B173" s="1">
        <v>41831</v>
      </c>
      <c r="C173" t="s">
        <v>191</v>
      </c>
      <c r="D173" t="str">
        <f>CONCATENATE("0040015005","")</f>
        <v>0040015005</v>
      </c>
      <c r="E173" t="str">
        <f>CONCATENATE("0060109000200       ","")</f>
        <v>0060109000200       </v>
      </c>
      <c r="F173" t="str">
        <f>CONCATENATE("10233896","")</f>
        <v>10233896</v>
      </c>
      <c r="G173" t="s">
        <v>226</v>
      </c>
      <c r="H173" t="s">
        <v>412</v>
      </c>
      <c r="I173" t="s">
        <v>413</v>
      </c>
      <c r="J173" t="str">
        <f t="shared" si="16"/>
        <v>080601</v>
      </c>
      <c r="K173" t="s">
        <v>22</v>
      </c>
      <c r="L173" t="s">
        <v>23</v>
      </c>
      <c r="M173" t="str">
        <f t="shared" si="19"/>
        <v>1</v>
      </c>
      <c r="O173" t="str">
        <f t="shared" si="20"/>
        <v>1 </v>
      </c>
      <c r="P173">
        <v>30.75</v>
      </c>
      <c r="Q173" t="s">
        <v>24</v>
      </c>
    </row>
    <row r="174" spans="1:17" ht="15">
      <c r="A174" t="s">
        <v>17</v>
      </c>
      <c r="B174" s="1">
        <v>41831</v>
      </c>
      <c r="C174" t="s">
        <v>191</v>
      </c>
      <c r="D174" t="str">
        <f>CONCATENATE("0040002033","")</f>
        <v>0040002033</v>
      </c>
      <c r="E174" t="str">
        <f>CONCATENATE("0060109000300       ","")</f>
        <v>0060109000300       </v>
      </c>
      <c r="F174" t="str">
        <f>CONCATENATE("0606669232","")</f>
        <v>0606669232</v>
      </c>
      <c r="G174" t="s">
        <v>230</v>
      </c>
      <c r="H174" t="s">
        <v>414</v>
      </c>
      <c r="I174" t="s">
        <v>415</v>
      </c>
      <c r="J174" t="str">
        <f t="shared" si="16"/>
        <v>080601</v>
      </c>
      <c r="K174" t="s">
        <v>22</v>
      </c>
      <c r="L174" t="s">
        <v>23</v>
      </c>
      <c r="M174" t="str">
        <f t="shared" si="19"/>
        <v>1</v>
      </c>
      <c r="O174" t="str">
        <f t="shared" si="20"/>
        <v>1 </v>
      </c>
      <c r="P174">
        <v>28.3</v>
      </c>
      <c r="Q174" t="s">
        <v>24</v>
      </c>
    </row>
    <row r="175" spans="1:17" ht="15">
      <c r="A175" t="s">
        <v>17</v>
      </c>
      <c r="B175" s="1">
        <v>41831</v>
      </c>
      <c r="C175" t="s">
        <v>191</v>
      </c>
      <c r="D175" t="str">
        <f>CONCATENATE("0040017241","")</f>
        <v>0040017241</v>
      </c>
      <c r="E175" t="str">
        <f>CONCATENATE("0060109000403       ","")</f>
        <v>0060109000403       </v>
      </c>
      <c r="F175" t="str">
        <f>CONCATENATE("1218951","")</f>
        <v>1218951</v>
      </c>
      <c r="G175" t="s">
        <v>230</v>
      </c>
      <c r="H175" t="s">
        <v>416</v>
      </c>
      <c r="I175" t="s">
        <v>417</v>
      </c>
      <c r="J175" t="str">
        <f t="shared" si="16"/>
        <v>080601</v>
      </c>
      <c r="K175" t="s">
        <v>22</v>
      </c>
      <c r="L175" t="s">
        <v>23</v>
      </c>
      <c r="M175" t="str">
        <f t="shared" si="19"/>
        <v>1</v>
      </c>
      <c r="O175" t="str">
        <f t="shared" si="20"/>
        <v>1 </v>
      </c>
      <c r="P175">
        <v>120.3</v>
      </c>
      <c r="Q175" t="s">
        <v>24</v>
      </c>
    </row>
    <row r="176" spans="1:17" ht="15">
      <c r="A176" t="s">
        <v>17</v>
      </c>
      <c r="B176" s="1">
        <v>41831</v>
      </c>
      <c r="C176" t="s">
        <v>191</v>
      </c>
      <c r="D176" t="str">
        <f>CONCATENATE("0040002054","")</f>
        <v>0040002054</v>
      </c>
      <c r="E176" t="str">
        <f>CONCATENATE("0060109000500       ","")</f>
        <v>0060109000500       </v>
      </c>
      <c r="F176" t="str">
        <f>CONCATENATE("605626729","")</f>
        <v>605626729</v>
      </c>
      <c r="G176" t="s">
        <v>230</v>
      </c>
      <c r="H176" t="s">
        <v>418</v>
      </c>
      <c r="I176" t="s">
        <v>419</v>
      </c>
      <c r="J176" t="str">
        <f t="shared" si="16"/>
        <v>080601</v>
      </c>
      <c r="K176" t="s">
        <v>22</v>
      </c>
      <c r="L176" t="s">
        <v>23</v>
      </c>
      <c r="M176" t="str">
        <f t="shared" si="19"/>
        <v>1</v>
      </c>
      <c r="O176" t="str">
        <f t="shared" si="20"/>
        <v>1 </v>
      </c>
      <c r="P176">
        <v>35.55</v>
      </c>
      <c r="Q176" t="s">
        <v>24</v>
      </c>
    </row>
    <row r="177" spans="1:17" ht="15">
      <c r="A177" t="s">
        <v>17</v>
      </c>
      <c r="B177" s="1">
        <v>41831</v>
      </c>
      <c r="C177" t="s">
        <v>191</v>
      </c>
      <c r="D177" t="str">
        <f>CONCATENATE("0040002066","")</f>
        <v>0040002066</v>
      </c>
      <c r="E177" t="str">
        <f>CONCATENATE("0060109000630       ","")</f>
        <v>0060109000630       </v>
      </c>
      <c r="F177" t="str">
        <f>CONCATENATE("0606672934","")</f>
        <v>0606672934</v>
      </c>
      <c r="G177" t="s">
        <v>233</v>
      </c>
      <c r="H177" t="s">
        <v>420</v>
      </c>
      <c r="I177" t="s">
        <v>421</v>
      </c>
      <c r="J177" t="str">
        <f t="shared" si="16"/>
        <v>080601</v>
      </c>
      <c r="K177" t="s">
        <v>22</v>
      </c>
      <c r="L177" t="s">
        <v>23</v>
      </c>
      <c r="M177" t="str">
        <f t="shared" si="19"/>
        <v>1</v>
      </c>
      <c r="O177" t="str">
        <f t="shared" si="20"/>
        <v>1 </v>
      </c>
      <c r="P177">
        <v>9.5</v>
      </c>
      <c r="Q177" t="s">
        <v>24</v>
      </c>
    </row>
    <row r="178" spans="1:17" ht="15">
      <c r="A178" t="s">
        <v>17</v>
      </c>
      <c r="B178" s="1">
        <v>41831</v>
      </c>
      <c r="C178" t="s">
        <v>191</v>
      </c>
      <c r="D178" t="str">
        <f>CONCATENATE("0040010148","")</f>
        <v>0040010148</v>
      </c>
      <c r="E178" t="str">
        <f>CONCATENATE("0060109000641       ","")</f>
        <v>0060109000641       </v>
      </c>
      <c r="F178" t="str">
        <f>CONCATENATE("1810589","")</f>
        <v>1810589</v>
      </c>
      <c r="G178" t="s">
        <v>233</v>
      </c>
      <c r="H178" t="s">
        <v>422</v>
      </c>
      <c r="I178" t="s">
        <v>423</v>
      </c>
      <c r="J178" t="str">
        <f t="shared" si="16"/>
        <v>080601</v>
      </c>
      <c r="K178" t="s">
        <v>22</v>
      </c>
      <c r="L178" t="s">
        <v>23</v>
      </c>
      <c r="M178" t="str">
        <f t="shared" si="19"/>
        <v>1</v>
      </c>
      <c r="O178" t="str">
        <f t="shared" si="20"/>
        <v>1 </v>
      </c>
      <c r="P178">
        <v>57.55</v>
      </c>
      <c r="Q178" t="s">
        <v>24</v>
      </c>
    </row>
    <row r="179" spans="1:17" ht="15">
      <c r="A179" t="s">
        <v>17</v>
      </c>
      <c r="B179" s="1">
        <v>41831</v>
      </c>
      <c r="C179" t="s">
        <v>191</v>
      </c>
      <c r="D179" t="str">
        <f>CONCATENATE("0040023502","")</f>
        <v>0040023502</v>
      </c>
      <c r="E179" t="str">
        <f>CONCATENATE("0060109000975       ","")</f>
        <v>0060109000975       </v>
      </c>
      <c r="F179" t="str">
        <f>CONCATENATE("1944764","")</f>
        <v>1944764</v>
      </c>
      <c r="G179" t="s">
        <v>230</v>
      </c>
      <c r="H179" t="s">
        <v>424</v>
      </c>
      <c r="I179" t="s">
        <v>425</v>
      </c>
      <c r="J179" t="str">
        <f t="shared" si="16"/>
        <v>080601</v>
      </c>
      <c r="K179" t="s">
        <v>22</v>
      </c>
      <c r="L179" t="s">
        <v>23</v>
      </c>
      <c r="M179" t="str">
        <f t="shared" si="19"/>
        <v>1</v>
      </c>
      <c r="O179" t="str">
        <f t="shared" si="20"/>
        <v>1 </v>
      </c>
      <c r="P179">
        <v>72.8</v>
      </c>
      <c r="Q179" t="s">
        <v>24</v>
      </c>
    </row>
    <row r="180" spans="1:17" ht="15">
      <c r="A180" t="s">
        <v>17</v>
      </c>
      <c r="B180" s="1">
        <v>41831</v>
      </c>
      <c r="C180" t="s">
        <v>191</v>
      </c>
      <c r="D180" t="str">
        <f>CONCATENATE("0040009991","")</f>
        <v>0040009991</v>
      </c>
      <c r="E180" t="str">
        <f>CONCATENATE("0060109001314       ","")</f>
        <v>0060109001314       </v>
      </c>
      <c r="F180" t="str">
        <f>CONCATENATE("7294468","")</f>
        <v>7294468</v>
      </c>
      <c r="G180" t="s">
        <v>233</v>
      </c>
      <c r="H180" t="s">
        <v>426</v>
      </c>
      <c r="I180" t="s">
        <v>427</v>
      </c>
      <c r="J180" t="str">
        <f t="shared" si="16"/>
        <v>080601</v>
      </c>
      <c r="K180" t="s">
        <v>22</v>
      </c>
      <c r="L180" t="s">
        <v>23</v>
      </c>
      <c r="M180" t="str">
        <f t="shared" si="19"/>
        <v>1</v>
      </c>
      <c r="O180" t="str">
        <f t="shared" si="20"/>
        <v>1 </v>
      </c>
      <c r="P180">
        <v>16.2</v>
      </c>
      <c r="Q180" t="s">
        <v>24</v>
      </c>
    </row>
    <row r="181" spans="1:17" ht="15">
      <c r="A181" t="s">
        <v>17</v>
      </c>
      <c r="B181" s="1">
        <v>41831</v>
      </c>
      <c r="C181" t="s">
        <v>191</v>
      </c>
      <c r="D181" t="str">
        <f>CONCATENATE("0040002155","")</f>
        <v>0040002155</v>
      </c>
      <c r="E181" t="str">
        <f>CONCATENATE("0060109001320       ","")</f>
        <v>0060109001320       </v>
      </c>
      <c r="F181" t="str">
        <f>CONCATENATE("605057419","")</f>
        <v>605057419</v>
      </c>
      <c r="G181" t="s">
        <v>233</v>
      </c>
      <c r="H181" t="s">
        <v>428</v>
      </c>
      <c r="I181" t="s">
        <v>429</v>
      </c>
      <c r="J181" t="str">
        <f t="shared" si="16"/>
        <v>080601</v>
      </c>
      <c r="K181" t="s">
        <v>22</v>
      </c>
      <c r="L181" t="s">
        <v>23</v>
      </c>
      <c r="M181" t="str">
        <f t="shared" si="19"/>
        <v>1</v>
      </c>
      <c r="O181" t="str">
        <f t="shared" si="20"/>
        <v>1 </v>
      </c>
      <c r="P181">
        <v>61.3</v>
      </c>
      <c r="Q181" t="s">
        <v>24</v>
      </c>
    </row>
    <row r="182" spans="1:17" ht="15">
      <c r="A182" t="s">
        <v>17</v>
      </c>
      <c r="B182" s="1">
        <v>41831</v>
      </c>
      <c r="C182" t="s">
        <v>191</v>
      </c>
      <c r="D182" t="str">
        <f>CONCATENATE("0040002734","")</f>
        <v>0040002734</v>
      </c>
      <c r="E182" t="str">
        <f>CONCATENATE("0060109001343       ","")</f>
        <v>0060109001343       </v>
      </c>
      <c r="F182" t="str">
        <f>CONCATENATE("2183215","")</f>
        <v>2183215</v>
      </c>
      <c r="G182" t="s">
        <v>430</v>
      </c>
      <c r="H182" t="s">
        <v>431</v>
      </c>
      <c r="I182" t="s">
        <v>432</v>
      </c>
      <c r="J182" t="str">
        <f t="shared" si="16"/>
        <v>080601</v>
      </c>
      <c r="K182" t="s">
        <v>22</v>
      </c>
      <c r="L182" t="s">
        <v>23</v>
      </c>
      <c r="M182" t="str">
        <f t="shared" si="19"/>
        <v>1</v>
      </c>
      <c r="O182" t="str">
        <f t="shared" si="20"/>
        <v>1 </v>
      </c>
      <c r="P182">
        <v>34.45</v>
      </c>
      <c r="Q182" t="s">
        <v>24</v>
      </c>
    </row>
    <row r="183" spans="1:17" ht="15">
      <c r="A183" t="s">
        <v>17</v>
      </c>
      <c r="B183" s="1">
        <v>41831</v>
      </c>
      <c r="C183" t="s">
        <v>191</v>
      </c>
      <c r="D183" t="str">
        <f>CONCATENATE("0040002173","")</f>
        <v>0040002173</v>
      </c>
      <c r="E183" t="str">
        <f>CONCATENATE("0060109001410       ","")</f>
        <v>0060109001410       </v>
      </c>
      <c r="F183" t="str">
        <f>CONCATENATE("0606669243","")</f>
        <v>0606669243</v>
      </c>
      <c r="G183" t="s">
        <v>233</v>
      </c>
      <c r="H183" t="s">
        <v>433</v>
      </c>
      <c r="I183" t="s">
        <v>434</v>
      </c>
      <c r="J183" t="str">
        <f t="shared" si="16"/>
        <v>080601</v>
      </c>
      <c r="K183" t="s">
        <v>22</v>
      </c>
      <c r="L183" t="s">
        <v>23</v>
      </c>
      <c r="M183" t="str">
        <f t="shared" si="19"/>
        <v>1</v>
      </c>
      <c r="O183" t="str">
        <f t="shared" si="20"/>
        <v>1 </v>
      </c>
      <c r="P183">
        <v>118.25</v>
      </c>
      <c r="Q183" t="s">
        <v>24</v>
      </c>
    </row>
    <row r="184" spans="1:17" ht="15">
      <c r="A184" t="s">
        <v>17</v>
      </c>
      <c r="B184" s="1">
        <v>41831</v>
      </c>
      <c r="C184" t="s">
        <v>191</v>
      </c>
      <c r="D184" t="str">
        <f>CONCATENATE("0040002185","")</f>
        <v>0040002185</v>
      </c>
      <c r="E184" t="str">
        <f>CONCATENATE("0060109001550       ","")</f>
        <v>0060109001550       </v>
      </c>
      <c r="F184" t="str">
        <f>CONCATENATE("0606669237","")</f>
        <v>0606669237</v>
      </c>
      <c r="G184" t="s">
        <v>233</v>
      </c>
      <c r="H184" t="s">
        <v>435</v>
      </c>
      <c r="I184" t="s">
        <v>436</v>
      </c>
      <c r="J184" t="str">
        <f t="shared" si="16"/>
        <v>080601</v>
      </c>
      <c r="K184" t="s">
        <v>22</v>
      </c>
      <c r="L184" t="s">
        <v>23</v>
      </c>
      <c r="M184" t="str">
        <f t="shared" si="19"/>
        <v>1</v>
      </c>
      <c r="O184" t="str">
        <f t="shared" si="20"/>
        <v>1 </v>
      </c>
      <c r="P184">
        <v>10.2</v>
      </c>
      <c r="Q184" t="s">
        <v>24</v>
      </c>
    </row>
    <row r="185" spans="1:17" ht="15">
      <c r="A185" t="s">
        <v>17</v>
      </c>
      <c r="B185" s="1">
        <v>41831</v>
      </c>
      <c r="C185" t="s">
        <v>191</v>
      </c>
      <c r="D185" t="str">
        <f>CONCATENATE("0040017900","")</f>
        <v>0040017900</v>
      </c>
      <c r="E185" t="str">
        <f>CONCATENATE("0060109001560       ","")</f>
        <v>0060109001560       </v>
      </c>
      <c r="F185" t="str">
        <f>CONCATENATE("605084025","")</f>
        <v>605084025</v>
      </c>
      <c r="G185" t="s">
        <v>233</v>
      </c>
      <c r="H185" t="s">
        <v>437</v>
      </c>
      <c r="I185" t="s">
        <v>438</v>
      </c>
      <c r="J185" t="str">
        <f t="shared" si="16"/>
        <v>080601</v>
      </c>
      <c r="K185" t="s">
        <v>22</v>
      </c>
      <c r="L185" t="s">
        <v>23</v>
      </c>
      <c r="M185" t="str">
        <f t="shared" si="19"/>
        <v>1</v>
      </c>
      <c r="O185" t="str">
        <f t="shared" si="20"/>
        <v>1 </v>
      </c>
      <c r="P185">
        <v>29.05</v>
      </c>
      <c r="Q185" t="s">
        <v>24</v>
      </c>
    </row>
    <row r="186" spans="1:17" ht="15">
      <c r="A186" t="s">
        <v>17</v>
      </c>
      <c r="B186" s="1">
        <v>41831</v>
      </c>
      <c r="C186" t="s">
        <v>191</v>
      </c>
      <c r="D186" t="str">
        <f>CONCATENATE("0040002187","")</f>
        <v>0040002187</v>
      </c>
      <c r="E186" t="str">
        <f>CONCATENATE("0060109001570       ","")</f>
        <v>0060109001570       </v>
      </c>
      <c r="F186" t="str">
        <f>CONCATENATE("2188713","")</f>
        <v>2188713</v>
      </c>
      <c r="G186" t="s">
        <v>233</v>
      </c>
      <c r="H186" t="s">
        <v>439</v>
      </c>
      <c r="I186" t="s">
        <v>440</v>
      </c>
      <c r="J186" t="str">
        <f t="shared" si="16"/>
        <v>080601</v>
      </c>
      <c r="K186" t="s">
        <v>22</v>
      </c>
      <c r="L186" t="s">
        <v>23</v>
      </c>
      <c r="M186" t="str">
        <f t="shared" si="19"/>
        <v>1</v>
      </c>
      <c r="O186" t="str">
        <f t="shared" si="20"/>
        <v>1 </v>
      </c>
      <c r="P186">
        <v>9.65</v>
      </c>
      <c r="Q186" t="s">
        <v>24</v>
      </c>
    </row>
    <row r="187" spans="1:17" ht="15">
      <c r="A187" t="s">
        <v>17</v>
      </c>
      <c r="B187" s="1">
        <v>41831</v>
      </c>
      <c r="C187" t="s">
        <v>191</v>
      </c>
      <c r="D187" t="str">
        <f>CONCATENATE("0040012317","")</f>
        <v>0040012317</v>
      </c>
      <c r="E187" t="str">
        <f>CONCATENATE("0060109001585       ","")</f>
        <v>0060109001585       </v>
      </c>
      <c r="F187" t="str">
        <f>CONCATENATE("605626734","")</f>
        <v>605626734</v>
      </c>
      <c r="G187" t="s">
        <v>233</v>
      </c>
      <c r="H187" t="s">
        <v>441</v>
      </c>
      <c r="I187" t="s">
        <v>442</v>
      </c>
      <c r="J187" t="str">
        <f t="shared" si="16"/>
        <v>080601</v>
      </c>
      <c r="K187" t="s">
        <v>22</v>
      </c>
      <c r="L187" t="s">
        <v>23</v>
      </c>
      <c r="M187" t="str">
        <f t="shared" si="19"/>
        <v>1</v>
      </c>
      <c r="O187" t="str">
        <f t="shared" si="20"/>
        <v>1 </v>
      </c>
      <c r="P187">
        <v>16.55</v>
      </c>
      <c r="Q187" t="s">
        <v>24</v>
      </c>
    </row>
    <row r="188" spans="1:17" ht="15">
      <c r="A188" t="s">
        <v>17</v>
      </c>
      <c r="B188" s="1">
        <v>41831</v>
      </c>
      <c r="C188" t="s">
        <v>191</v>
      </c>
      <c r="D188" t="str">
        <f>CONCATENATE("0040002195","")</f>
        <v>0040002195</v>
      </c>
      <c r="E188" t="str">
        <f>CONCATENATE("0060109001650       ","")</f>
        <v>0060109001650       </v>
      </c>
      <c r="F188" t="str">
        <f>CONCATENATE("605626748","")</f>
        <v>605626748</v>
      </c>
      <c r="G188" t="s">
        <v>233</v>
      </c>
      <c r="H188" t="s">
        <v>443</v>
      </c>
      <c r="I188" t="s">
        <v>444</v>
      </c>
      <c r="J188" t="str">
        <f t="shared" si="16"/>
        <v>080601</v>
      </c>
      <c r="K188" t="s">
        <v>22</v>
      </c>
      <c r="L188" t="s">
        <v>23</v>
      </c>
      <c r="M188" t="str">
        <f t="shared" si="19"/>
        <v>1</v>
      </c>
      <c r="O188" t="str">
        <f t="shared" si="20"/>
        <v>1 </v>
      </c>
      <c r="P188">
        <v>93.25</v>
      </c>
      <c r="Q188" t="s">
        <v>326</v>
      </c>
    </row>
    <row r="189" spans="1:17" ht="15">
      <c r="A189" t="s">
        <v>17</v>
      </c>
      <c r="B189" s="1">
        <v>41831</v>
      </c>
      <c r="C189" t="s">
        <v>191</v>
      </c>
      <c r="D189" t="str">
        <f>CONCATENATE("0040024318","")</f>
        <v>0040024318</v>
      </c>
      <c r="E189" t="str">
        <f>CONCATENATE("0060109001985       ","")</f>
        <v>0060109001985       </v>
      </c>
      <c r="F189" t="str">
        <f>CONCATENATE("2150692","")</f>
        <v>2150692</v>
      </c>
      <c r="G189" t="s">
        <v>230</v>
      </c>
      <c r="H189" t="s">
        <v>445</v>
      </c>
      <c r="I189" t="s">
        <v>446</v>
      </c>
      <c r="J189" t="str">
        <f t="shared" si="16"/>
        <v>080601</v>
      </c>
      <c r="K189" t="s">
        <v>22</v>
      </c>
      <c r="L189" t="s">
        <v>23</v>
      </c>
      <c r="M189" t="str">
        <f t="shared" si="19"/>
        <v>1</v>
      </c>
      <c r="O189" t="str">
        <f t="shared" si="20"/>
        <v>1 </v>
      </c>
      <c r="P189">
        <v>162.1</v>
      </c>
      <c r="Q189" t="s">
        <v>24</v>
      </c>
    </row>
    <row r="190" spans="1:17" ht="15">
      <c r="A190" t="s">
        <v>17</v>
      </c>
      <c r="B190" s="1">
        <v>41831</v>
      </c>
      <c r="C190" t="s">
        <v>191</v>
      </c>
      <c r="D190" t="str">
        <f>CONCATENATE("0040002258","")</f>
        <v>0040002258</v>
      </c>
      <c r="E190" t="str">
        <f>CONCATENATE("0060110000020       ","")</f>
        <v>0060110000020       </v>
      </c>
      <c r="F190" t="str">
        <f>CONCATENATE("605118193","")</f>
        <v>605118193</v>
      </c>
      <c r="G190" t="s">
        <v>447</v>
      </c>
      <c r="H190" t="s">
        <v>448</v>
      </c>
      <c r="I190" t="s">
        <v>449</v>
      </c>
      <c r="J190" t="str">
        <f t="shared" si="16"/>
        <v>080601</v>
      </c>
      <c r="K190" t="s">
        <v>22</v>
      </c>
      <c r="L190" t="s">
        <v>23</v>
      </c>
      <c r="M190" t="str">
        <f>CONCATENATE("2","")</f>
        <v>2</v>
      </c>
      <c r="O190" t="str">
        <f t="shared" si="20"/>
        <v>1 </v>
      </c>
      <c r="P190">
        <v>316.25</v>
      </c>
      <c r="Q190" t="s">
        <v>24</v>
      </c>
    </row>
    <row r="191" spans="1:17" ht="15">
      <c r="A191" t="s">
        <v>17</v>
      </c>
      <c r="B191" s="1">
        <v>41831</v>
      </c>
      <c r="C191" t="s">
        <v>191</v>
      </c>
      <c r="D191" t="str">
        <f>CONCATENATE("0040002296","")</f>
        <v>0040002296</v>
      </c>
      <c r="E191" t="str">
        <f>CONCATENATE("0060110000283       ","")</f>
        <v>0060110000283       </v>
      </c>
      <c r="F191" t="str">
        <f>CONCATENATE("605056276","")</f>
        <v>605056276</v>
      </c>
      <c r="G191" t="s">
        <v>447</v>
      </c>
      <c r="H191" t="s">
        <v>450</v>
      </c>
      <c r="I191" t="s">
        <v>451</v>
      </c>
      <c r="J191" t="str">
        <f t="shared" si="16"/>
        <v>080601</v>
      </c>
      <c r="K191" t="s">
        <v>22</v>
      </c>
      <c r="L191" t="s">
        <v>23</v>
      </c>
      <c r="M191" t="str">
        <f aca="true" t="shared" si="21" ref="M191:M200">CONCATENATE("1","")</f>
        <v>1</v>
      </c>
      <c r="O191" t="str">
        <f t="shared" si="20"/>
        <v>1 </v>
      </c>
      <c r="P191">
        <v>23.55</v>
      </c>
      <c r="Q191" t="s">
        <v>24</v>
      </c>
    </row>
    <row r="192" spans="1:17" ht="15">
      <c r="A192" t="s">
        <v>17</v>
      </c>
      <c r="B192" s="1">
        <v>41831</v>
      </c>
      <c r="C192" t="s">
        <v>191</v>
      </c>
      <c r="D192" t="str">
        <f>CONCATENATE("0040002318","")</f>
        <v>0040002318</v>
      </c>
      <c r="E192" t="str">
        <f>CONCATENATE("0060110000440       ","")</f>
        <v>0060110000440       </v>
      </c>
      <c r="F192" t="str">
        <f>CONCATENATE("605120974","")</f>
        <v>605120974</v>
      </c>
      <c r="G192" t="s">
        <v>447</v>
      </c>
      <c r="H192" t="s">
        <v>452</v>
      </c>
      <c r="I192" t="s">
        <v>453</v>
      </c>
      <c r="J192" t="str">
        <f t="shared" si="16"/>
        <v>080601</v>
      </c>
      <c r="K192" t="s">
        <v>22</v>
      </c>
      <c r="L192" t="s">
        <v>23</v>
      </c>
      <c r="M192" t="str">
        <f t="shared" si="21"/>
        <v>1</v>
      </c>
      <c r="O192" t="str">
        <f t="shared" si="20"/>
        <v>1 </v>
      </c>
      <c r="P192">
        <v>95.55</v>
      </c>
      <c r="Q192" t="s">
        <v>24</v>
      </c>
    </row>
    <row r="193" spans="1:17" ht="15">
      <c r="A193" t="s">
        <v>17</v>
      </c>
      <c r="B193" s="1">
        <v>41831</v>
      </c>
      <c r="C193" t="s">
        <v>191</v>
      </c>
      <c r="D193" t="str">
        <f>CONCATENATE("0040016791","")</f>
        <v>0040016791</v>
      </c>
      <c r="E193" t="str">
        <f>CONCATENATE("0060110000541       ","")</f>
        <v>0060110000541       </v>
      </c>
      <c r="F193" t="str">
        <f>CONCATENATE("8103668","")</f>
        <v>8103668</v>
      </c>
      <c r="G193" t="s">
        <v>447</v>
      </c>
      <c r="H193" t="s">
        <v>454</v>
      </c>
      <c r="I193" t="s">
        <v>455</v>
      </c>
      <c r="J193" t="str">
        <f t="shared" si="16"/>
        <v>080601</v>
      </c>
      <c r="K193" t="s">
        <v>22</v>
      </c>
      <c r="L193" t="s">
        <v>23</v>
      </c>
      <c r="M193" t="str">
        <f t="shared" si="21"/>
        <v>1</v>
      </c>
      <c r="O193" t="str">
        <f t="shared" si="20"/>
        <v>1 </v>
      </c>
      <c r="P193">
        <v>9.55</v>
      </c>
      <c r="Q193" t="s">
        <v>24</v>
      </c>
    </row>
    <row r="194" spans="1:17" ht="15">
      <c r="A194" t="s">
        <v>17</v>
      </c>
      <c r="B194" s="1">
        <v>41831</v>
      </c>
      <c r="C194" t="s">
        <v>191</v>
      </c>
      <c r="D194" t="str">
        <f>CONCATENATE("0040002348","")</f>
        <v>0040002348</v>
      </c>
      <c r="E194" t="str">
        <f>CONCATENATE("0060110000795       ","")</f>
        <v>0060110000795       </v>
      </c>
      <c r="F194" t="str">
        <f>CONCATENATE("00043931","")</f>
        <v>00043931</v>
      </c>
      <c r="G194" t="s">
        <v>456</v>
      </c>
      <c r="H194" t="s">
        <v>457</v>
      </c>
      <c r="I194" t="s">
        <v>458</v>
      </c>
      <c r="J194" t="str">
        <f t="shared" si="16"/>
        <v>080601</v>
      </c>
      <c r="K194" t="s">
        <v>22</v>
      </c>
      <c r="L194" t="s">
        <v>23</v>
      </c>
      <c r="M194" t="str">
        <f t="shared" si="21"/>
        <v>1</v>
      </c>
      <c r="O194" t="str">
        <f t="shared" si="20"/>
        <v>1 </v>
      </c>
      <c r="P194">
        <v>30.8</v>
      </c>
      <c r="Q194" t="s">
        <v>24</v>
      </c>
    </row>
    <row r="195" spans="1:17" ht="15">
      <c r="A195" t="s">
        <v>17</v>
      </c>
      <c r="B195" s="1">
        <v>41831</v>
      </c>
      <c r="C195" t="s">
        <v>191</v>
      </c>
      <c r="D195" t="str">
        <f>CONCATENATE("0040002353","")</f>
        <v>0040002353</v>
      </c>
      <c r="E195" t="str">
        <f>CONCATENATE("0060110000829       ","")</f>
        <v>0060110000829       </v>
      </c>
      <c r="F195" t="str">
        <f>CONCATENATE("605118598","")</f>
        <v>605118598</v>
      </c>
      <c r="G195" t="s">
        <v>456</v>
      </c>
      <c r="H195" t="s">
        <v>459</v>
      </c>
      <c r="I195" t="s">
        <v>460</v>
      </c>
      <c r="J195" t="str">
        <f t="shared" si="16"/>
        <v>080601</v>
      </c>
      <c r="K195" t="s">
        <v>22</v>
      </c>
      <c r="L195" t="s">
        <v>23</v>
      </c>
      <c r="M195" t="str">
        <f t="shared" si="21"/>
        <v>1</v>
      </c>
      <c r="O195" t="str">
        <f>CONCATENATE("2 ","")</f>
        <v>2 </v>
      </c>
      <c r="P195">
        <v>48.05</v>
      </c>
      <c r="Q195" t="s">
        <v>24</v>
      </c>
    </row>
    <row r="196" spans="1:17" ht="15">
      <c r="A196" t="s">
        <v>17</v>
      </c>
      <c r="B196" s="1">
        <v>41831</v>
      </c>
      <c r="C196" t="s">
        <v>191</v>
      </c>
      <c r="D196" t="str">
        <f>CONCATENATE("0040002356","")</f>
        <v>0040002356</v>
      </c>
      <c r="E196" t="str">
        <f>CONCATENATE("0060110000840       ","")</f>
        <v>0060110000840       </v>
      </c>
      <c r="F196" t="str">
        <f>CONCATENATE("2184857","")</f>
        <v>2184857</v>
      </c>
      <c r="G196" t="s">
        <v>456</v>
      </c>
      <c r="H196" t="s">
        <v>461</v>
      </c>
      <c r="I196" t="s">
        <v>462</v>
      </c>
      <c r="J196" t="str">
        <f aca="true" t="shared" si="22" ref="J196:J259">CONCATENATE("080601","")</f>
        <v>080601</v>
      </c>
      <c r="K196" t="s">
        <v>22</v>
      </c>
      <c r="L196" t="s">
        <v>23</v>
      </c>
      <c r="M196" t="str">
        <f t="shared" si="21"/>
        <v>1</v>
      </c>
      <c r="O196" t="str">
        <f>CONCATENATE("1 ","")</f>
        <v>1 </v>
      </c>
      <c r="P196">
        <v>206.1</v>
      </c>
      <c r="Q196" t="s">
        <v>24</v>
      </c>
    </row>
    <row r="197" spans="1:17" ht="15">
      <c r="A197" t="s">
        <v>17</v>
      </c>
      <c r="B197" s="1">
        <v>41831</v>
      </c>
      <c r="C197" t="s">
        <v>191</v>
      </c>
      <c r="D197" t="str">
        <f>CONCATENATE("0040002358","")</f>
        <v>0040002358</v>
      </c>
      <c r="E197" t="str">
        <f>CONCATENATE("0060110000850       ","")</f>
        <v>0060110000850       </v>
      </c>
      <c r="F197" t="str">
        <f>CONCATENATE("605399036","")</f>
        <v>605399036</v>
      </c>
      <c r="G197" t="s">
        <v>456</v>
      </c>
      <c r="H197" t="s">
        <v>463</v>
      </c>
      <c r="I197" t="s">
        <v>464</v>
      </c>
      <c r="J197" t="str">
        <f t="shared" si="22"/>
        <v>080601</v>
      </c>
      <c r="K197" t="s">
        <v>22</v>
      </c>
      <c r="L197" t="s">
        <v>23</v>
      </c>
      <c r="M197" t="str">
        <f t="shared" si="21"/>
        <v>1</v>
      </c>
      <c r="O197" t="str">
        <f>CONCATENATE("1 ","")</f>
        <v>1 </v>
      </c>
      <c r="P197">
        <v>35.45</v>
      </c>
      <c r="Q197" t="s">
        <v>24</v>
      </c>
    </row>
    <row r="198" spans="1:17" ht="15">
      <c r="A198" t="s">
        <v>17</v>
      </c>
      <c r="B198" s="1">
        <v>41831</v>
      </c>
      <c r="C198" t="s">
        <v>191</v>
      </c>
      <c r="D198" t="str">
        <f>CONCATENATE("0040002363","")</f>
        <v>0040002363</v>
      </c>
      <c r="E198" t="str">
        <f>CONCATENATE("0060110000910       ","")</f>
        <v>0060110000910       </v>
      </c>
      <c r="F198" t="str">
        <f>CONCATENATE("2190464","")</f>
        <v>2190464</v>
      </c>
      <c r="G198" t="s">
        <v>456</v>
      </c>
      <c r="H198" t="s">
        <v>465</v>
      </c>
      <c r="I198" t="s">
        <v>466</v>
      </c>
      <c r="J198" t="str">
        <f t="shared" si="22"/>
        <v>080601</v>
      </c>
      <c r="K198" t="s">
        <v>22</v>
      </c>
      <c r="L198" t="s">
        <v>23</v>
      </c>
      <c r="M198" t="str">
        <f t="shared" si="21"/>
        <v>1</v>
      </c>
      <c r="O198" t="str">
        <f>CONCATENATE("1 ","")</f>
        <v>1 </v>
      </c>
      <c r="P198">
        <v>77.35</v>
      </c>
      <c r="Q198" t="s">
        <v>24</v>
      </c>
    </row>
    <row r="199" spans="1:17" ht="15">
      <c r="A199" t="s">
        <v>17</v>
      </c>
      <c r="B199" s="1">
        <v>41831</v>
      </c>
      <c r="C199" t="s">
        <v>191</v>
      </c>
      <c r="D199" t="str">
        <f>CONCATENATE("0040012373","")</f>
        <v>0040012373</v>
      </c>
      <c r="E199" t="str">
        <f>CONCATENATE("0060110000944       ","")</f>
        <v>0060110000944       </v>
      </c>
      <c r="F199" t="str">
        <f>CONCATENATE("07553184","")</f>
        <v>07553184</v>
      </c>
      <c r="G199" t="s">
        <v>456</v>
      </c>
      <c r="H199" t="s">
        <v>467</v>
      </c>
      <c r="I199" t="s">
        <v>468</v>
      </c>
      <c r="J199" t="str">
        <f t="shared" si="22"/>
        <v>080601</v>
      </c>
      <c r="K199" t="s">
        <v>22</v>
      </c>
      <c r="L199" t="s">
        <v>23</v>
      </c>
      <c r="M199" t="str">
        <f t="shared" si="21"/>
        <v>1</v>
      </c>
      <c r="O199" t="str">
        <f>CONCATENATE("1 ","")</f>
        <v>1 </v>
      </c>
      <c r="P199">
        <v>79.1</v>
      </c>
      <c r="Q199" t="s">
        <v>24</v>
      </c>
    </row>
    <row r="200" spans="1:17" ht="15">
      <c r="A200" t="s">
        <v>17</v>
      </c>
      <c r="B200" s="1">
        <v>41831</v>
      </c>
      <c r="C200" t="s">
        <v>191</v>
      </c>
      <c r="D200" t="str">
        <f>CONCATENATE("0040002374","")</f>
        <v>0040002374</v>
      </c>
      <c r="E200" t="str">
        <f>CONCATENATE("0060110001000       ","")</f>
        <v>0060110001000       </v>
      </c>
      <c r="F200" t="str">
        <f>CONCATENATE("2184351","")</f>
        <v>2184351</v>
      </c>
      <c r="G200" t="s">
        <v>456</v>
      </c>
      <c r="H200" t="s">
        <v>469</v>
      </c>
      <c r="I200" t="s">
        <v>470</v>
      </c>
      <c r="J200" t="str">
        <f t="shared" si="22"/>
        <v>080601</v>
      </c>
      <c r="K200" t="s">
        <v>22</v>
      </c>
      <c r="L200" t="s">
        <v>23</v>
      </c>
      <c r="M200" t="str">
        <f t="shared" si="21"/>
        <v>1</v>
      </c>
      <c r="O200" t="str">
        <f>CONCATENATE("1 ","")</f>
        <v>1 </v>
      </c>
      <c r="P200">
        <v>71.4</v>
      </c>
      <c r="Q200" t="s">
        <v>24</v>
      </c>
    </row>
    <row r="201" spans="1:17" ht="15">
      <c r="A201" t="s">
        <v>17</v>
      </c>
      <c r="B201" s="1">
        <v>41831</v>
      </c>
      <c r="C201" t="s">
        <v>191</v>
      </c>
      <c r="D201" t="str">
        <f>CONCATENATE("0040035744","")</f>
        <v>0040035744</v>
      </c>
      <c r="E201" t="str">
        <f>CONCATENATE("0060110001035       ","")</f>
        <v>0060110001035       </v>
      </c>
      <c r="F201" t="str">
        <f>CONCATENATE("1258324","")</f>
        <v>1258324</v>
      </c>
      <c r="G201" t="s">
        <v>456</v>
      </c>
      <c r="H201" t="s">
        <v>471</v>
      </c>
      <c r="I201" t="s">
        <v>472</v>
      </c>
      <c r="J201" t="str">
        <f t="shared" si="22"/>
        <v>080601</v>
      </c>
      <c r="K201" t="s">
        <v>22</v>
      </c>
      <c r="L201" t="s">
        <v>23</v>
      </c>
      <c r="M201" t="str">
        <f>CONCATENATE("3","")</f>
        <v>3</v>
      </c>
      <c r="O201" t="str">
        <f>CONCATENATE("2 ","")</f>
        <v>2 </v>
      </c>
      <c r="P201">
        <v>15.8</v>
      </c>
      <c r="Q201" t="s">
        <v>326</v>
      </c>
    </row>
    <row r="202" spans="1:17" ht="15">
      <c r="A202" t="s">
        <v>17</v>
      </c>
      <c r="B202" s="1">
        <v>41831</v>
      </c>
      <c r="C202" t="s">
        <v>191</v>
      </c>
      <c r="D202" t="str">
        <f>CONCATENATE("0040019647","")</f>
        <v>0040019647</v>
      </c>
      <c r="E202" t="str">
        <f>CONCATENATE("0060110001043       ","")</f>
        <v>0060110001043       </v>
      </c>
      <c r="F202" t="str">
        <f>CONCATENATE("605626113","")</f>
        <v>605626113</v>
      </c>
      <c r="G202" t="s">
        <v>456</v>
      </c>
      <c r="H202" t="s">
        <v>473</v>
      </c>
      <c r="I202" t="s">
        <v>474</v>
      </c>
      <c r="J202" t="str">
        <f t="shared" si="22"/>
        <v>080601</v>
      </c>
      <c r="K202" t="s">
        <v>22</v>
      </c>
      <c r="L202" t="s">
        <v>23</v>
      </c>
      <c r="M202" t="str">
        <f aca="true" t="shared" si="23" ref="M202:M229">CONCATENATE("1","")</f>
        <v>1</v>
      </c>
      <c r="O202" t="str">
        <f aca="true" t="shared" si="24" ref="O202:O217">CONCATENATE("1 ","")</f>
        <v>1 </v>
      </c>
      <c r="P202">
        <v>39.1</v>
      </c>
      <c r="Q202" t="s">
        <v>24</v>
      </c>
    </row>
    <row r="203" spans="1:17" ht="15">
      <c r="A203" t="s">
        <v>17</v>
      </c>
      <c r="B203" s="1">
        <v>41831</v>
      </c>
      <c r="C203" t="s">
        <v>191</v>
      </c>
      <c r="D203" t="str">
        <f>CONCATENATE("0040008934","")</f>
        <v>0040008934</v>
      </c>
      <c r="E203" t="str">
        <f>CONCATENATE("0060110001069       ","")</f>
        <v>0060110001069       </v>
      </c>
      <c r="F203" t="str">
        <f>CONCATENATE("605057342","")</f>
        <v>605057342</v>
      </c>
      <c r="G203" t="s">
        <v>456</v>
      </c>
      <c r="H203" t="s">
        <v>475</v>
      </c>
      <c r="I203" t="s">
        <v>476</v>
      </c>
      <c r="J203" t="str">
        <f t="shared" si="22"/>
        <v>080601</v>
      </c>
      <c r="K203" t="s">
        <v>22</v>
      </c>
      <c r="L203" t="s">
        <v>23</v>
      </c>
      <c r="M203" t="str">
        <f t="shared" si="23"/>
        <v>1</v>
      </c>
      <c r="O203" t="str">
        <f t="shared" si="24"/>
        <v>1 </v>
      </c>
      <c r="P203">
        <v>51.05</v>
      </c>
      <c r="Q203" t="s">
        <v>24</v>
      </c>
    </row>
    <row r="204" spans="1:17" ht="15">
      <c r="A204" t="s">
        <v>17</v>
      </c>
      <c r="B204" s="1">
        <v>41831</v>
      </c>
      <c r="C204" t="s">
        <v>191</v>
      </c>
      <c r="D204" t="str">
        <f>CONCATENATE("0040002430","")</f>
        <v>0040002430</v>
      </c>
      <c r="E204" t="str">
        <f>CONCATENATE("0060110001400       ","")</f>
        <v>0060110001400       </v>
      </c>
      <c r="F204" t="str">
        <f>CONCATENATE("2127311","")</f>
        <v>2127311</v>
      </c>
      <c r="G204" t="s">
        <v>477</v>
      </c>
      <c r="H204" t="s">
        <v>478</v>
      </c>
      <c r="I204" t="s">
        <v>479</v>
      </c>
      <c r="J204" t="str">
        <f t="shared" si="22"/>
        <v>080601</v>
      </c>
      <c r="K204" t="s">
        <v>22</v>
      </c>
      <c r="L204" t="s">
        <v>23</v>
      </c>
      <c r="M204" t="str">
        <f t="shared" si="23"/>
        <v>1</v>
      </c>
      <c r="O204" t="str">
        <f t="shared" si="24"/>
        <v>1 </v>
      </c>
      <c r="P204">
        <v>93.65</v>
      </c>
      <c r="Q204" t="s">
        <v>24</v>
      </c>
    </row>
    <row r="205" spans="1:17" ht="15">
      <c r="A205" t="s">
        <v>17</v>
      </c>
      <c r="B205" s="1">
        <v>41831</v>
      </c>
      <c r="C205" t="s">
        <v>191</v>
      </c>
      <c r="D205" t="str">
        <f>CONCATENATE("0040031151","")</f>
        <v>0040031151</v>
      </c>
      <c r="E205" t="str">
        <f>CONCATENATE("0060110001405       ","")</f>
        <v>0060110001405       </v>
      </c>
      <c r="F205" t="str">
        <f>CONCATENATE("606597852","")</f>
        <v>606597852</v>
      </c>
      <c r="G205" t="s">
        <v>477</v>
      </c>
      <c r="H205" t="s">
        <v>480</v>
      </c>
      <c r="I205" t="s">
        <v>481</v>
      </c>
      <c r="J205" t="str">
        <f t="shared" si="22"/>
        <v>080601</v>
      </c>
      <c r="K205" t="s">
        <v>22</v>
      </c>
      <c r="L205" t="s">
        <v>23</v>
      </c>
      <c r="M205" t="str">
        <f t="shared" si="23"/>
        <v>1</v>
      </c>
      <c r="O205" t="str">
        <f t="shared" si="24"/>
        <v>1 </v>
      </c>
      <c r="P205">
        <v>9.45</v>
      </c>
      <c r="Q205" t="s">
        <v>24</v>
      </c>
    </row>
    <row r="206" spans="1:17" ht="15">
      <c r="A206" t="s">
        <v>17</v>
      </c>
      <c r="B206" s="1">
        <v>41831</v>
      </c>
      <c r="C206" t="s">
        <v>191</v>
      </c>
      <c r="D206" t="str">
        <f>CONCATENATE("0040014025","")</f>
        <v>0040014025</v>
      </c>
      <c r="E206" t="str">
        <f>CONCATENATE("0060110001525       ","")</f>
        <v>0060110001525       </v>
      </c>
      <c r="F206" t="str">
        <f>CONCATENATE("605555738","")</f>
        <v>605555738</v>
      </c>
      <c r="G206" t="s">
        <v>477</v>
      </c>
      <c r="H206" t="s">
        <v>482</v>
      </c>
      <c r="I206" t="s">
        <v>483</v>
      </c>
      <c r="J206" t="str">
        <f t="shared" si="22"/>
        <v>080601</v>
      </c>
      <c r="K206" t="s">
        <v>22</v>
      </c>
      <c r="L206" t="s">
        <v>23</v>
      </c>
      <c r="M206" t="str">
        <f t="shared" si="23"/>
        <v>1</v>
      </c>
      <c r="O206" t="str">
        <f t="shared" si="24"/>
        <v>1 </v>
      </c>
      <c r="P206">
        <v>61.3</v>
      </c>
      <c r="Q206" t="s">
        <v>24</v>
      </c>
    </row>
    <row r="207" spans="1:17" ht="15">
      <c r="A207" t="s">
        <v>17</v>
      </c>
      <c r="B207" s="1">
        <v>41831</v>
      </c>
      <c r="C207" t="s">
        <v>191</v>
      </c>
      <c r="D207" t="str">
        <f>CONCATENATE("0040002453","")</f>
        <v>0040002453</v>
      </c>
      <c r="E207" t="str">
        <f>CONCATENATE("0060110001550       ","")</f>
        <v>0060110001550       </v>
      </c>
      <c r="F207" t="str">
        <f>CONCATENATE("00007296984","")</f>
        <v>00007296984</v>
      </c>
      <c r="G207" t="s">
        <v>477</v>
      </c>
      <c r="H207" t="s">
        <v>484</v>
      </c>
      <c r="I207" t="s">
        <v>485</v>
      </c>
      <c r="J207" t="str">
        <f t="shared" si="22"/>
        <v>080601</v>
      </c>
      <c r="K207" t="s">
        <v>22</v>
      </c>
      <c r="L207" t="s">
        <v>23</v>
      </c>
      <c r="M207" t="str">
        <f t="shared" si="23"/>
        <v>1</v>
      </c>
      <c r="O207" t="str">
        <f t="shared" si="24"/>
        <v>1 </v>
      </c>
      <c r="P207">
        <v>50.65</v>
      </c>
      <c r="Q207" t="s">
        <v>24</v>
      </c>
    </row>
    <row r="208" spans="1:17" ht="15">
      <c r="A208" t="s">
        <v>17</v>
      </c>
      <c r="B208" s="1">
        <v>41831</v>
      </c>
      <c r="C208" t="s">
        <v>191</v>
      </c>
      <c r="D208" t="str">
        <f>CONCATENATE("0040016521","")</f>
        <v>0040016521</v>
      </c>
      <c r="E208" t="str">
        <f>CONCATENATE("0060110001554       ","")</f>
        <v>0060110001554       </v>
      </c>
      <c r="F208" t="str">
        <f>CONCATENATE("606596466","")</f>
        <v>606596466</v>
      </c>
      <c r="G208" t="s">
        <v>477</v>
      </c>
      <c r="H208" t="s">
        <v>486</v>
      </c>
      <c r="I208" t="s">
        <v>487</v>
      </c>
      <c r="J208" t="str">
        <f t="shared" si="22"/>
        <v>080601</v>
      </c>
      <c r="K208" t="s">
        <v>22</v>
      </c>
      <c r="L208" t="s">
        <v>23</v>
      </c>
      <c r="M208" t="str">
        <f t="shared" si="23"/>
        <v>1</v>
      </c>
      <c r="O208" t="str">
        <f t="shared" si="24"/>
        <v>1 </v>
      </c>
      <c r="P208">
        <v>39.35</v>
      </c>
      <c r="Q208" t="s">
        <v>24</v>
      </c>
    </row>
    <row r="209" spans="1:17" ht="15">
      <c r="A209" t="s">
        <v>17</v>
      </c>
      <c r="B209" s="1">
        <v>41831</v>
      </c>
      <c r="C209" t="s">
        <v>191</v>
      </c>
      <c r="D209" t="str">
        <f>CONCATENATE("0040016246","")</f>
        <v>0040016246</v>
      </c>
      <c r="E209" t="str">
        <f>CONCATENATE("0060110001602       ","")</f>
        <v>0060110001602       </v>
      </c>
      <c r="F209" t="str">
        <f>CONCATENATE("00000329606","")</f>
        <v>00000329606</v>
      </c>
      <c r="G209" t="s">
        <v>477</v>
      </c>
      <c r="H209" t="s">
        <v>488</v>
      </c>
      <c r="I209" t="s">
        <v>489</v>
      </c>
      <c r="J209" t="str">
        <f t="shared" si="22"/>
        <v>080601</v>
      </c>
      <c r="K209" t="s">
        <v>22</v>
      </c>
      <c r="L209" t="s">
        <v>23</v>
      </c>
      <c r="M209" t="str">
        <f t="shared" si="23"/>
        <v>1</v>
      </c>
      <c r="O209" t="str">
        <f t="shared" si="24"/>
        <v>1 </v>
      </c>
      <c r="P209">
        <v>28.1</v>
      </c>
      <c r="Q209" t="s">
        <v>24</v>
      </c>
    </row>
    <row r="210" spans="1:17" ht="15">
      <c r="A210" t="s">
        <v>17</v>
      </c>
      <c r="B210" s="1">
        <v>41831</v>
      </c>
      <c r="C210" t="s">
        <v>191</v>
      </c>
      <c r="D210" t="str">
        <f>CONCATENATE("0040002483","")</f>
        <v>0040002483</v>
      </c>
      <c r="E210" t="str">
        <f>CONCATENATE("0060110001615       ","")</f>
        <v>0060110001615       </v>
      </c>
      <c r="F210" t="str">
        <f>CONCATENATE("0605349614","")</f>
        <v>0605349614</v>
      </c>
      <c r="G210" t="s">
        <v>477</v>
      </c>
      <c r="H210" t="s">
        <v>490</v>
      </c>
      <c r="I210" t="s">
        <v>491</v>
      </c>
      <c r="J210" t="str">
        <f t="shared" si="22"/>
        <v>080601</v>
      </c>
      <c r="K210" t="s">
        <v>22</v>
      </c>
      <c r="L210" t="s">
        <v>23</v>
      </c>
      <c r="M210" t="str">
        <f t="shared" si="23"/>
        <v>1</v>
      </c>
      <c r="O210" t="str">
        <f t="shared" si="24"/>
        <v>1 </v>
      </c>
      <c r="P210">
        <v>39.65</v>
      </c>
      <c r="Q210" t="s">
        <v>24</v>
      </c>
    </row>
    <row r="211" spans="1:17" ht="15">
      <c r="A211" t="s">
        <v>17</v>
      </c>
      <c r="B211" s="1">
        <v>41831</v>
      </c>
      <c r="C211" t="s">
        <v>191</v>
      </c>
      <c r="D211" t="str">
        <f>CONCATENATE("0040013826","")</f>
        <v>0040013826</v>
      </c>
      <c r="E211" t="str">
        <f>CONCATENATE("0060110001641       ","")</f>
        <v>0060110001641       </v>
      </c>
      <c r="F211" t="str">
        <f>CONCATENATE("00043945","")</f>
        <v>00043945</v>
      </c>
      <c r="G211" t="s">
        <v>477</v>
      </c>
      <c r="H211" t="s">
        <v>492</v>
      </c>
      <c r="I211" t="s">
        <v>493</v>
      </c>
      <c r="J211" t="str">
        <f t="shared" si="22"/>
        <v>080601</v>
      </c>
      <c r="K211" t="s">
        <v>22</v>
      </c>
      <c r="L211" t="s">
        <v>23</v>
      </c>
      <c r="M211" t="str">
        <f t="shared" si="23"/>
        <v>1</v>
      </c>
      <c r="O211" t="str">
        <f t="shared" si="24"/>
        <v>1 </v>
      </c>
      <c r="P211">
        <v>84.95</v>
      </c>
      <c r="Q211" t="s">
        <v>24</v>
      </c>
    </row>
    <row r="212" spans="1:17" ht="15">
      <c r="A212" t="s">
        <v>17</v>
      </c>
      <c r="B212" s="1">
        <v>41831</v>
      </c>
      <c r="C212" t="s">
        <v>191</v>
      </c>
      <c r="D212" t="str">
        <f>CONCATENATE("0040019590","")</f>
        <v>0040019590</v>
      </c>
      <c r="E212" t="str">
        <f>CONCATENATE("0060110001646       ","")</f>
        <v>0060110001646       </v>
      </c>
      <c r="F212" t="str">
        <f>CONCATENATE("605623322","")</f>
        <v>605623322</v>
      </c>
      <c r="G212" t="s">
        <v>477</v>
      </c>
      <c r="H212" t="s">
        <v>494</v>
      </c>
      <c r="I212" t="s">
        <v>495</v>
      </c>
      <c r="J212" t="str">
        <f t="shared" si="22"/>
        <v>080601</v>
      </c>
      <c r="K212" t="s">
        <v>22</v>
      </c>
      <c r="L212" t="s">
        <v>23</v>
      </c>
      <c r="M212" t="str">
        <f t="shared" si="23"/>
        <v>1</v>
      </c>
      <c r="O212" t="str">
        <f t="shared" si="24"/>
        <v>1 </v>
      </c>
      <c r="P212">
        <v>41</v>
      </c>
      <c r="Q212" t="s">
        <v>24</v>
      </c>
    </row>
    <row r="213" spans="1:17" ht="15">
      <c r="A213" t="s">
        <v>17</v>
      </c>
      <c r="B213" s="1">
        <v>41831</v>
      </c>
      <c r="C213" t="s">
        <v>191</v>
      </c>
      <c r="D213" t="str">
        <f>CONCATENATE("0040002505","")</f>
        <v>0040002505</v>
      </c>
      <c r="E213" t="str">
        <f>CONCATENATE("0060110001832       ","")</f>
        <v>0060110001832       </v>
      </c>
      <c r="F213" t="str">
        <f>CONCATENATE("605054696","")</f>
        <v>605054696</v>
      </c>
      <c r="G213" t="s">
        <v>456</v>
      </c>
      <c r="H213" t="s">
        <v>496</v>
      </c>
      <c r="I213" t="s">
        <v>497</v>
      </c>
      <c r="J213" t="str">
        <f t="shared" si="22"/>
        <v>080601</v>
      </c>
      <c r="K213" t="s">
        <v>22</v>
      </c>
      <c r="L213" t="s">
        <v>23</v>
      </c>
      <c r="M213" t="str">
        <f t="shared" si="23"/>
        <v>1</v>
      </c>
      <c r="O213" t="str">
        <f t="shared" si="24"/>
        <v>1 </v>
      </c>
      <c r="P213">
        <v>16.8</v>
      </c>
      <c r="Q213" t="s">
        <v>24</v>
      </c>
    </row>
    <row r="214" spans="1:17" ht="15">
      <c r="A214" t="s">
        <v>17</v>
      </c>
      <c r="B214" s="1">
        <v>41831</v>
      </c>
      <c r="C214" t="s">
        <v>191</v>
      </c>
      <c r="D214" t="str">
        <f>CONCATENATE("0040016916","")</f>
        <v>0040016916</v>
      </c>
      <c r="E214" t="str">
        <f>CONCATENATE("0060110002408       ","")</f>
        <v>0060110002408       </v>
      </c>
      <c r="F214" t="str">
        <f>CONCATENATE("7196","")</f>
        <v>7196</v>
      </c>
      <c r="G214" t="s">
        <v>456</v>
      </c>
      <c r="H214" t="s">
        <v>498</v>
      </c>
      <c r="I214" t="str">
        <f>CONCATENATE("20-DE-SETIEMBRE-C-22","")</f>
        <v>20-DE-SETIEMBRE-C-22</v>
      </c>
      <c r="J214" t="str">
        <f t="shared" si="22"/>
        <v>080601</v>
      </c>
      <c r="K214" t="s">
        <v>22</v>
      </c>
      <c r="L214" t="s">
        <v>23</v>
      </c>
      <c r="M214" t="str">
        <f t="shared" si="23"/>
        <v>1</v>
      </c>
      <c r="O214" t="str">
        <f t="shared" si="24"/>
        <v>1 </v>
      </c>
      <c r="P214">
        <v>22.6</v>
      </c>
      <c r="Q214" t="s">
        <v>24</v>
      </c>
    </row>
    <row r="215" spans="1:17" ht="15">
      <c r="A215" t="s">
        <v>17</v>
      </c>
      <c r="B215" s="1">
        <v>41831</v>
      </c>
      <c r="C215" t="s">
        <v>191</v>
      </c>
      <c r="D215" t="str">
        <f>CONCATENATE("0040002543","")</f>
        <v>0040002543</v>
      </c>
      <c r="E215" t="str">
        <f>CONCATENATE("0060110002531       ","")</f>
        <v>0060110002531       </v>
      </c>
      <c r="F215" t="str">
        <f>CONCATENATE("2123837","")</f>
        <v>2123837</v>
      </c>
      <c r="G215" t="s">
        <v>499</v>
      </c>
      <c r="H215" t="s">
        <v>500</v>
      </c>
      <c r="I215" t="s">
        <v>501</v>
      </c>
      <c r="J215" t="str">
        <f t="shared" si="22"/>
        <v>080601</v>
      </c>
      <c r="K215" t="s">
        <v>22</v>
      </c>
      <c r="L215" t="s">
        <v>23</v>
      </c>
      <c r="M215" t="str">
        <f t="shared" si="23"/>
        <v>1</v>
      </c>
      <c r="O215" t="str">
        <f t="shared" si="24"/>
        <v>1 </v>
      </c>
      <c r="P215">
        <v>56</v>
      </c>
      <c r="Q215" t="s">
        <v>24</v>
      </c>
    </row>
    <row r="216" spans="1:17" ht="15">
      <c r="A216" t="s">
        <v>17</v>
      </c>
      <c r="B216" s="1">
        <v>41831</v>
      </c>
      <c r="C216" t="s">
        <v>191</v>
      </c>
      <c r="D216" t="str">
        <f>CONCATENATE("0040002562","")</f>
        <v>0040002562</v>
      </c>
      <c r="E216" t="str">
        <f>CONCATENATE("0060110002611       ","")</f>
        <v>0060110002611       </v>
      </c>
      <c r="F216" t="str">
        <f>CONCATENATE("0605349623","")</f>
        <v>0605349623</v>
      </c>
      <c r="G216" t="s">
        <v>499</v>
      </c>
      <c r="H216" t="s">
        <v>502</v>
      </c>
      <c r="I216" t="s">
        <v>503</v>
      </c>
      <c r="J216" t="str">
        <f t="shared" si="22"/>
        <v>080601</v>
      </c>
      <c r="K216" t="s">
        <v>22</v>
      </c>
      <c r="L216" t="s">
        <v>23</v>
      </c>
      <c r="M216" t="str">
        <f t="shared" si="23"/>
        <v>1</v>
      </c>
      <c r="O216" t="str">
        <f t="shared" si="24"/>
        <v>1 </v>
      </c>
      <c r="P216">
        <v>88.45</v>
      </c>
      <c r="Q216" t="s">
        <v>24</v>
      </c>
    </row>
    <row r="217" spans="1:17" ht="15">
      <c r="A217" t="s">
        <v>17</v>
      </c>
      <c r="B217" s="1">
        <v>41831</v>
      </c>
      <c r="C217" t="s">
        <v>191</v>
      </c>
      <c r="D217" t="str">
        <f>CONCATENATE("0040002568","")</f>
        <v>0040002568</v>
      </c>
      <c r="E217" t="str">
        <f>CONCATENATE("0060110002630       ","")</f>
        <v>0060110002630       </v>
      </c>
      <c r="F217" t="str">
        <f>CONCATENATE("605285502","")</f>
        <v>605285502</v>
      </c>
      <c r="G217" t="s">
        <v>499</v>
      </c>
      <c r="H217" t="s">
        <v>504</v>
      </c>
      <c r="I217" t="s">
        <v>505</v>
      </c>
      <c r="J217" t="str">
        <f t="shared" si="22"/>
        <v>080601</v>
      </c>
      <c r="K217" t="s">
        <v>22</v>
      </c>
      <c r="L217" t="s">
        <v>23</v>
      </c>
      <c r="M217" t="str">
        <f t="shared" si="23"/>
        <v>1</v>
      </c>
      <c r="O217" t="str">
        <f t="shared" si="24"/>
        <v>1 </v>
      </c>
      <c r="P217">
        <v>39.9</v>
      </c>
      <c r="Q217" t="s">
        <v>24</v>
      </c>
    </row>
    <row r="218" spans="1:17" ht="15">
      <c r="A218" t="s">
        <v>17</v>
      </c>
      <c r="B218" s="1">
        <v>41831</v>
      </c>
      <c r="C218" t="s">
        <v>191</v>
      </c>
      <c r="D218" t="str">
        <f>CONCATENATE("0040002579","")</f>
        <v>0040002579</v>
      </c>
      <c r="E218" t="str">
        <f>CONCATENATE("0060110002680       ","")</f>
        <v>0060110002680       </v>
      </c>
      <c r="F218" t="str">
        <f>CONCATENATE("2123823","")</f>
        <v>2123823</v>
      </c>
      <c r="G218" t="s">
        <v>499</v>
      </c>
      <c r="H218" t="s">
        <v>506</v>
      </c>
      <c r="I218" t="s">
        <v>507</v>
      </c>
      <c r="J218" t="str">
        <f t="shared" si="22"/>
        <v>080601</v>
      </c>
      <c r="K218" t="s">
        <v>22</v>
      </c>
      <c r="L218" t="s">
        <v>23</v>
      </c>
      <c r="M218" t="str">
        <f t="shared" si="23"/>
        <v>1</v>
      </c>
      <c r="O218" t="str">
        <f>CONCATENATE("2 ","")</f>
        <v>2 </v>
      </c>
      <c r="P218">
        <v>14.25</v>
      </c>
      <c r="Q218" t="s">
        <v>24</v>
      </c>
    </row>
    <row r="219" spans="1:17" ht="15">
      <c r="A219" t="s">
        <v>17</v>
      </c>
      <c r="B219" s="1">
        <v>41831</v>
      </c>
      <c r="C219" t="s">
        <v>191</v>
      </c>
      <c r="D219" t="str">
        <f>CONCATENATE("0040031162","")</f>
        <v>0040031162</v>
      </c>
      <c r="E219" t="str">
        <f>CONCATENATE("0060110002985       ","")</f>
        <v>0060110002985       </v>
      </c>
      <c r="F219" t="str">
        <f>CONCATENATE("606597847","")</f>
        <v>606597847</v>
      </c>
      <c r="G219" t="s">
        <v>508</v>
      </c>
      <c r="H219" t="s">
        <v>509</v>
      </c>
      <c r="I219" t="s">
        <v>510</v>
      </c>
      <c r="J219" t="str">
        <f t="shared" si="22"/>
        <v>080601</v>
      </c>
      <c r="K219" t="s">
        <v>22</v>
      </c>
      <c r="L219" t="s">
        <v>23</v>
      </c>
      <c r="M219" t="str">
        <f t="shared" si="23"/>
        <v>1</v>
      </c>
      <c r="O219" t="str">
        <f aca="true" t="shared" si="25" ref="O219:O224">CONCATENATE("1 ","")</f>
        <v>1 </v>
      </c>
      <c r="P219">
        <v>9.55</v>
      </c>
      <c r="Q219" t="s">
        <v>24</v>
      </c>
    </row>
    <row r="220" spans="1:17" ht="15">
      <c r="A220" t="s">
        <v>17</v>
      </c>
      <c r="B220" s="1">
        <v>41831</v>
      </c>
      <c r="C220" t="s">
        <v>191</v>
      </c>
      <c r="D220" t="str">
        <f>CONCATENATE("0040009810","")</f>
        <v>0040009810</v>
      </c>
      <c r="E220" t="str">
        <f>CONCATENATE("0060110003036       ","")</f>
        <v>0060110003036       </v>
      </c>
      <c r="F220" t="str">
        <f>CONCATENATE("7298810","")</f>
        <v>7298810</v>
      </c>
      <c r="G220" t="s">
        <v>508</v>
      </c>
      <c r="H220" t="s">
        <v>511</v>
      </c>
      <c r="I220" t="s">
        <v>512</v>
      </c>
      <c r="J220" t="str">
        <f t="shared" si="22"/>
        <v>080601</v>
      </c>
      <c r="K220" t="s">
        <v>22</v>
      </c>
      <c r="L220" t="s">
        <v>23</v>
      </c>
      <c r="M220" t="str">
        <f t="shared" si="23"/>
        <v>1</v>
      </c>
      <c r="O220" t="str">
        <f t="shared" si="25"/>
        <v>1 </v>
      </c>
      <c r="P220">
        <v>12.85</v>
      </c>
      <c r="Q220" t="s">
        <v>24</v>
      </c>
    </row>
    <row r="221" spans="1:17" ht="15">
      <c r="A221" t="s">
        <v>17</v>
      </c>
      <c r="B221" s="1">
        <v>41831</v>
      </c>
      <c r="C221" t="s">
        <v>191</v>
      </c>
      <c r="D221" t="str">
        <f>CONCATENATE("0040008473","")</f>
        <v>0040008473</v>
      </c>
      <c r="E221" t="str">
        <f>CONCATENATE("0060110005280       ","")</f>
        <v>0060110005280       </v>
      </c>
      <c r="F221" t="str">
        <f>CONCATENATE("2184346","")</f>
        <v>2184346</v>
      </c>
      <c r="G221" t="s">
        <v>456</v>
      </c>
      <c r="H221" t="s">
        <v>513</v>
      </c>
      <c r="I221" t="str">
        <f>CONCATENATE("20-DE-SETIEMBRE-C-19","")</f>
        <v>20-DE-SETIEMBRE-C-19</v>
      </c>
      <c r="J221" t="str">
        <f t="shared" si="22"/>
        <v>080601</v>
      </c>
      <c r="K221" t="s">
        <v>22</v>
      </c>
      <c r="L221" t="s">
        <v>23</v>
      </c>
      <c r="M221" t="str">
        <f t="shared" si="23"/>
        <v>1</v>
      </c>
      <c r="O221" t="str">
        <f t="shared" si="25"/>
        <v>1 </v>
      </c>
      <c r="P221">
        <v>40.85</v>
      </c>
      <c r="Q221" t="s">
        <v>24</v>
      </c>
    </row>
    <row r="222" spans="1:17" ht="15">
      <c r="A222" t="s">
        <v>17</v>
      </c>
      <c r="B222" s="1">
        <v>41831</v>
      </c>
      <c r="C222" t="s">
        <v>191</v>
      </c>
      <c r="D222" t="str">
        <f>CONCATENATE("0040018067","")</f>
        <v>0040018067</v>
      </c>
      <c r="E222" t="str">
        <f>CONCATENATE("0060110005471       ","")</f>
        <v>0060110005471       </v>
      </c>
      <c r="F222" t="str">
        <f>CONCATENATE("1423595","")</f>
        <v>1423595</v>
      </c>
      <c r="G222" t="s">
        <v>456</v>
      </c>
      <c r="H222" t="s">
        <v>514</v>
      </c>
      <c r="I222" t="s">
        <v>515</v>
      </c>
      <c r="J222" t="str">
        <f t="shared" si="22"/>
        <v>080601</v>
      </c>
      <c r="K222" t="s">
        <v>22</v>
      </c>
      <c r="L222" t="s">
        <v>23</v>
      </c>
      <c r="M222" t="str">
        <f t="shared" si="23"/>
        <v>1</v>
      </c>
      <c r="O222" t="str">
        <f t="shared" si="25"/>
        <v>1 </v>
      </c>
      <c r="P222">
        <v>26.45</v>
      </c>
      <c r="Q222" t="s">
        <v>24</v>
      </c>
    </row>
    <row r="223" spans="1:17" ht="15">
      <c r="A223" t="s">
        <v>17</v>
      </c>
      <c r="B223" s="1">
        <v>41831</v>
      </c>
      <c r="C223" t="s">
        <v>191</v>
      </c>
      <c r="D223" t="str">
        <f>CONCATENATE("0040016503","")</f>
        <v>0040016503</v>
      </c>
      <c r="E223" t="str">
        <f>CONCATENATE("0060110005515       ","")</f>
        <v>0060110005515       </v>
      </c>
      <c r="F223" t="str">
        <f>CONCATENATE("606594395","")</f>
        <v>606594395</v>
      </c>
      <c r="G223" t="s">
        <v>456</v>
      </c>
      <c r="H223" t="s">
        <v>516</v>
      </c>
      <c r="I223" t="s">
        <v>517</v>
      </c>
      <c r="J223" t="str">
        <f t="shared" si="22"/>
        <v>080601</v>
      </c>
      <c r="K223" t="s">
        <v>22</v>
      </c>
      <c r="L223" t="s">
        <v>23</v>
      </c>
      <c r="M223" t="str">
        <f t="shared" si="23"/>
        <v>1</v>
      </c>
      <c r="O223" t="str">
        <f t="shared" si="25"/>
        <v>1 </v>
      </c>
      <c r="P223">
        <v>61.4</v>
      </c>
      <c r="Q223" t="s">
        <v>24</v>
      </c>
    </row>
    <row r="224" spans="1:17" ht="15">
      <c r="A224" t="s">
        <v>17</v>
      </c>
      <c r="B224" s="1">
        <v>41831</v>
      </c>
      <c r="C224" t="s">
        <v>191</v>
      </c>
      <c r="D224" t="str">
        <f>CONCATENATE("0040015514","")</f>
        <v>0040015514</v>
      </c>
      <c r="E224" t="str">
        <f>CONCATENATE("0060110006059       ","")</f>
        <v>0060110006059       </v>
      </c>
      <c r="F224" t="str">
        <f>CONCATENATE("00409551204","")</f>
        <v>00409551204</v>
      </c>
      <c r="G224" t="s">
        <v>508</v>
      </c>
      <c r="H224" t="s">
        <v>518</v>
      </c>
      <c r="I224" t="s">
        <v>519</v>
      </c>
      <c r="J224" t="str">
        <f t="shared" si="22"/>
        <v>080601</v>
      </c>
      <c r="K224" t="s">
        <v>22</v>
      </c>
      <c r="L224" t="s">
        <v>23</v>
      </c>
      <c r="M224" t="str">
        <f t="shared" si="23"/>
        <v>1</v>
      </c>
      <c r="O224" t="str">
        <f t="shared" si="25"/>
        <v>1 </v>
      </c>
      <c r="P224">
        <v>10.4</v>
      </c>
      <c r="Q224" t="s">
        <v>24</v>
      </c>
    </row>
    <row r="225" spans="1:17" ht="15">
      <c r="A225" t="s">
        <v>17</v>
      </c>
      <c r="B225" s="1">
        <v>41831</v>
      </c>
      <c r="C225" t="s">
        <v>191</v>
      </c>
      <c r="D225" t="str">
        <f>CONCATENATE("0040034170","")</f>
        <v>0040034170</v>
      </c>
      <c r="E225" t="str">
        <f>CONCATENATE("0060110006175       ","")</f>
        <v>0060110006175       </v>
      </c>
      <c r="F225" t="str">
        <f>CONCATENATE("0606675603","")</f>
        <v>0606675603</v>
      </c>
      <c r="G225" t="s">
        <v>508</v>
      </c>
      <c r="H225" t="s">
        <v>520</v>
      </c>
      <c r="I225" t="s">
        <v>521</v>
      </c>
      <c r="J225" t="str">
        <f t="shared" si="22"/>
        <v>080601</v>
      </c>
      <c r="K225" t="s">
        <v>22</v>
      </c>
      <c r="L225" t="s">
        <v>23</v>
      </c>
      <c r="M225" t="str">
        <f t="shared" si="23"/>
        <v>1</v>
      </c>
      <c r="O225" t="str">
        <f>CONCATENATE("2 ","")</f>
        <v>2 </v>
      </c>
      <c r="P225">
        <v>232.9</v>
      </c>
      <c r="Q225" t="s">
        <v>24</v>
      </c>
    </row>
    <row r="226" spans="1:17" ht="15">
      <c r="A226" t="s">
        <v>17</v>
      </c>
      <c r="B226" s="1">
        <v>41831</v>
      </c>
      <c r="C226" t="s">
        <v>191</v>
      </c>
      <c r="D226" t="str">
        <f>CONCATENATE("0040019390","")</f>
        <v>0040019390</v>
      </c>
      <c r="E226" t="str">
        <f>CONCATENATE("0060110006630       ","")</f>
        <v>0060110006630       </v>
      </c>
      <c r="F226" t="str">
        <f>CONCATENATE("1941854","")</f>
        <v>1941854</v>
      </c>
      <c r="G226" t="s">
        <v>508</v>
      </c>
      <c r="H226" t="s">
        <v>522</v>
      </c>
      <c r="I226" t="s">
        <v>523</v>
      </c>
      <c r="J226" t="str">
        <f t="shared" si="22"/>
        <v>080601</v>
      </c>
      <c r="K226" t="s">
        <v>22</v>
      </c>
      <c r="L226" t="s">
        <v>23</v>
      </c>
      <c r="M226" t="str">
        <f t="shared" si="23"/>
        <v>1</v>
      </c>
      <c r="O226" t="str">
        <f>CONCATENATE("3 ","")</f>
        <v>3 </v>
      </c>
      <c r="P226">
        <v>17.8</v>
      </c>
      <c r="Q226" t="s">
        <v>24</v>
      </c>
    </row>
    <row r="227" spans="1:17" ht="15">
      <c r="A227" t="s">
        <v>17</v>
      </c>
      <c r="B227" s="1">
        <v>41831</v>
      </c>
      <c r="C227" t="s">
        <v>191</v>
      </c>
      <c r="D227" t="str">
        <f>CONCATENATE("0040032573","")</f>
        <v>0040032573</v>
      </c>
      <c r="E227" t="str">
        <f>CONCATENATE("0060110006635       ","")</f>
        <v>0060110006635       </v>
      </c>
      <c r="F227" t="str">
        <f>CONCATENATE("0606596747","")</f>
        <v>0606596747</v>
      </c>
      <c r="G227" t="s">
        <v>508</v>
      </c>
      <c r="H227" t="s">
        <v>524</v>
      </c>
      <c r="I227" t="s">
        <v>525</v>
      </c>
      <c r="J227" t="str">
        <f t="shared" si="22"/>
        <v>080601</v>
      </c>
      <c r="K227" t="s">
        <v>22</v>
      </c>
      <c r="L227" t="s">
        <v>23</v>
      </c>
      <c r="M227" t="str">
        <f t="shared" si="23"/>
        <v>1</v>
      </c>
      <c r="O227" t="str">
        <f>CONCATENATE("1 ","")</f>
        <v>1 </v>
      </c>
      <c r="P227">
        <v>12.55</v>
      </c>
      <c r="Q227" t="s">
        <v>24</v>
      </c>
    </row>
    <row r="228" spans="1:17" ht="15">
      <c r="A228" t="s">
        <v>17</v>
      </c>
      <c r="B228" s="1">
        <v>41831</v>
      </c>
      <c r="C228" t="s">
        <v>191</v>
      </c>
      <c r="D228" t="str">
        <f>CONCATENATE("0040013181","")</f>
        <v>0040013181</v>
      </c>
      <c r="E228" t="str">
        <f>CONCATENATE("0060110006654       ","")</f>
        <v>0060110006654       </v>
      </c>
      <c r="F228" t="str">
        <f>CONCATENATE("606032913","")</f>
        <v>606032913</v>
      </c>
      <c r="G228" t="s">
        <v>508</v>
      </c>
      <c r="H228" t="s">
        <v>526</v>
      </c>
      <c r="I228" t="s">
        <v>527</v>
      </c>
      <c r="J228" t="str">
        <f t="shared" si="22"/>
        <v>080601</v>
      </c>
      <c r="K228" t="s">
        <v>22</v>
      </c>
      <c r="L228" t="s">
        <v>23</v>
      </c>
      <c r="M228" t="str">
        <f t="shared" si="23"/>
        <v>1</v>
      </c>
      <c r="O228" t="str">
        <f>CONCATENATE("1 ","")</f>
        <v>1 </v>
      </c>
      <c r="P228">
        <v>9.95</v>
      </c>
      <c r="Q228" t="s">
        <v>24</v>
      </c>
    </row>
    <row r="229" spans="1:17" ht="15">
      <c r="A229" t="s">
        <v>17</v>
      </c>
      <c r="B229" s="1">
        <v>41831</v>
      </c>
      <c r="C229" t="s">
        <v>191</v>
      </c>
      <c r="D229" t="str">
        <f>CONCATENATE("0040012075","")</f>
        <v>0040012075</v>
      </c>
      <c r="E229" t="str">
        <f>CONCATENATE("0060111000075       ","")</f>
        <v>0060111000075       </v>
      </c>
      <c r="F229" t="str">
        <f>CONCATENATE("606589706","")</f>
        <v>606589706</v>
      </c>
      <c r="G229" t="s">
        <v>233</v>
      </c>
      <c r="H229" t="s">
        <v>528</v>
      </c>
      <c r="I229" t="s">
        <v>529</v>
      </c>
      <c r="J229" t="str">
        <f t="shared" si="22"/>
        <v>080601</v>
      </c>
      <c r="K229" t="s">
        <v>22</v>
      </c>
      <c r="L229" t="s">
        <v>23</v>
      </c>
      <c r="M229" t="str">
        <f t="shared" si="23"/>
        <v>1</v>
      </c>
      <c r="O229" t="str">
        <f>CONCATENATE("1 ","")</f>
        <v>1 </v>
      </c>
      <c r="P229">
        <v>150.6</v>
      </c>
      <c r="Q229" t="s">
        <v>24</v>
      </c>
    </row>
    <row r="230" spans="1:17" ht="15">
      <c r="A230" t="s">
        <v>17</v>
      </c>
      <c r="B230" s="1">
        <v>41831</v>
      </c>
      <c r="C230" t="s">
        <v>191</v>
      </c>
      <c r="D230" t="str">
        <f>CONCATENATE("0040030530","")</f>
        <v>0040030530</v>
      </c>
      <c r="E230" t="str">
        <f>CONCATENATE("0060111000155       ","")</f>
        <v>0060111000155       </v>
      </c>
      <c r="F230" t="str">
        <f>CONCATENATE("90911872","")</f>
        <v>90911872</v>
      </c>
      <c r="G230" t="s">
        <v>530</v>
      </c>
      <c r="H230" t="s">
        <v>531</v>
      </c>
      <c r="I230" t="s">
        <v>532</v>
      </c>
      <c r="J230" t="str">
        <f t="shared" si="22"/>
        <v>080601</v>
      </c>
      <c r="K230" t="s">
        <v>22</v>
      </c>
      <c r="L230" t="s">
        <v>23</v>
      </c>
      <c r="M230" t="str">
        <f>CONCATENATE("3","")</f>
        <v>3</v>
      </c>
      <c r="O230" t="str">
        <f>CONCATENATE("4 ","")</f>
        <v>4 </v>
      </c>
      <c r="P230">
        <v>530.05</v>
      </c>
      <c r="Q230" t="s">
        <v>326</v>
      </c>
    </row>
    <row r="231" spans="1:17" ht="15">
      <c r="A231" t="s">
        <v>17</v>
      </c>
      <c r="B231" s="1">
        <v>41831</v>
      </c>
      <c r="C231" t="s">
        <v>191</v>
      </c>
      <c r="D231" t="str">
        <f>CONCATENATE("0040002648","")</f>
        <v>0040002648</v>
      </c>
      <c r="E231" t="str">
        <f>CONCATENATE("0060111000400       ","")</f>
        <v>0060111000400       </v>
      </c>
      <c r="F231" t="str">
        <f>CONCATENATE("0606671918","")</f>
        <v>0606671918</v>
      </c>
      <c r="G231" t="s">
        <v>233</v>
      </c>
      <c r="H231" t="s">
        <v>533</v>
      </c>
      <c r="I231" t="s">
        <v>534</v>
      </c>
      <c r="J231" t="str">
        <f t="shared" si="22"/>
        <v>080601</v>
      </c>
      <c r="K231" t="s">
        <v>22</v>
      </c>
      <c r="L231" t="s">
        <v>23</v>
      </c>
      <c r="M231" t="str">
        <f aca="true" t="shared" si="26" ref="M231:M236">CONCATENATE("1","")</f>
        <v>1</v>
      </c>
      <c r="O231" t="str">
        <f aca="true" t="shared" si="27" ref="O231:O259">CONCATENATE("1 ","")</f>
        <v>1 </v>
      </c>
      <c r="P231">
        <v>21.1</v>
      </c>
      <c r="Q231" t="s">
        <v>24</v>
      </c>
    </row>
    <row r="232" spans="1:17" ht="15">
      <c r="A232" t="s">
        <v>17</v>
      </c>
      <c r="B232" s="1">
        <v>41831</v>
      </c>
      <c r="C232" t="s">
        <v>191</v>
      </c>
      <c r="D232" t="str">
        <f>CONCATENATE("0040002649","")</f>
        <v>0040002649</v>
      </c>
      <c r="E232" t="str">
        <f>CONCATENATE("0060111000410       ","")</f>
        <v>0060111000410       </v>
      </c>
      <c r="F232" t="str">
        <f>CONCATENATE("605056253","")</f>
        <v>605056253</v>
      </c>
      <c r="G232" t="s">
        <v>430</v>
      </c>
      <c r="H232" t="s">
        <v>535</v>
      </c>
      <c r="I232" t="s">
        <v>536</v>
      </c>
      <c r="J232" t="str">
        <f t="shared" si="22"/>
        <v>080601</v>
      </c>
      <c r="K232" t="s">
        <v>22</v>
      </c>
      <c r="L232" t="s">
        <v>23</v>
      </c>
      <c r="M232" t="str">
        <f t="shared" si="26"/>
        <v>1</v>
      </c>
      <c r="O232" t="str">
        <f t="shared" si="27"/>
        <v>1 </v>
      </c>
      <c r="P232">
        <v>24.9</v>
      </c>
      <c r="Q232" t="s">
        <v>24</v>
      </c>
    </row>
    <row r="233" spans="1:17" ht="15">
      <c r="A233" t="s">
        <v>17</v>
      </c>
      <c r="B233" s="1">
        <v>41831</v>
      </c>
      <c r="C233" t="s">
        <v>191</v>
      </c>
      <c r="D233" t="str">
        <f>CONCATENATE("0040002652","")</f>
        <v>0040002652</v>
      </c>
      <c r="E233" t="str">
        <f>CONCATENATE("0060111000450       ","")</f>
        <v>0060111000450       </v>
      </c>
      <c r="F233" t="str">
        <f>CONCATENATE("0606671924","")</f>
        <v>0606671924</v>
      </c>
      <c r="G233" t="s">
        <v>430</v>
      </c>
      <c r="H233" t="s">
        <v>537</v>
      </c>
      <c r="I233" t="s">
        <v>538</v>
      </c>
      <c r="J233" t="str">
        <f t="shared" si="22"/>
        <v>080601</v>
      </c>
      <c r="K233" t="s">
        <v>22</v>
      </c>
      <c r="L233" t="s">
        <v>23</v>
      </c>
      <c r="M233" t="str">
        <f t="shared" si="26"/>
        <v>1</v>
      </c>
      <c r="O233" t="str">
        <f t="shared" si="27"/>
        <v>1 </v>
      </c>
      <c r="P233">
        <v>98.55</v>
      </c>
      <c r="Q233" t="s">
        <v>24</v>
      </c>
    </row>
    <row r="234" spans="1:17" ht="15">
      <c r="A234" t="s">
        <v>17</v>
      </c>
      <c r="B234" s="1">
        <v>41831</v>
      </c>
      <c r="C234" t="s">
        <v>191</v>
      </c>
      <c r="D234" t="str">
        <f>CONCATENATE("0040010580","")</f>
        <v>0040010580</v>
      </c>
      <c r="E234" t="str">
        <f>CONCATENATE("0060111000578       ","")</f>
        <v>0060111000578       </v>
      </c>
      <c r="F234" t="str">
        <f>CONCATENATE("605057315","")</f>
        <v>605057315</v>
      </c>
      <c r="G234" t="s">
        <v>430</v>
      </c>
      <c r="H234" t="s">
        <v>539</v>
      </c>
      <c r="I234" t="s">
        <v>540</v>
      </c>
      <c r="J234" t="str">
        <f t="shared" si="22"/>
        <v>080601</v>
      </c>
      <c r="K234" t="s">
        <v>22</v>
      </c>
      <c r="L234" t="s">
        <v>23</v>
      </c>
      <c r="M234" t="str">
        <f t="shared" si="26"/>
        <v>1</v>
      </c>
      <c r="O234" t="str">
        <f t="shared" si="27"/>
        <v>1 </v>
      </c>
      <c r="P234">
        <v>113.4</v>
      </c>
      <c r="Q234" t="s">
        <v>24</v>
      </c>
    </row>
    <row r="235" spans="1:17" ht="15">
      <c r="A235" t="s">
        <v>17</v>
      </c>
      <c r="B235" s="1">
        <v>41831</v>
      </c>
      <c r="C235" t="s">
        <v>191</v>
      </c>
      <c r="D235" t="str">
        <f>CONCATENATE("0040002668","")</f>
        <v>0040002668</v>
      </c>
      <c r="E235" t="str">
        <f>CONCATENATE("0060111000580       ","")</f>
        <v>0060111000580       </v>
      </c>
      <c r="F235" t="str">
        <f>CONCATENATE("606671929","")</f>
        <v>606671929</v>
      </c>
      <c r="G235" t="s">
        <v>430</v>
      </c>
      <c r="H235" t="s">
        <v>541</v>
      </c>
      <c r="I235" t="s">
        <v>542</v>
      </c>
      <c r="J235" t="str">
        <f t="shared" si="22"/>
        <v>080601</v>
      </c>
      <c r="K235" t="s">
        <v>22</v>
      </c>
      <c r="L235" t="s">
        <v>23</v>
      </c>
      <c r="M235" t="str">
        <f t="shared" si="26"/>
        <v>1</v>
      </c>
      <c r="O235" t="str">
        <f t="shared" si="27"/>
        <v>1 </v>
      </c>
      <c r="P235">
        <v>20.5</v>
      </c>
      <c r="Q235" t="s">
        <v>24</v>
      </c>
    </row>
    <row r="236" spans="1:17" ht="15">
      <c r="A236" t="s">
        <v>17</v>
      </c>
      <c r="B236" s="1">
        <v>41831</v>
      </c>
      <c r="C236" t="s">
        <v>191</v>
      </c>
      <c r="D236" t="str">
        <f>CONCATENATE("0040002672","")</f>
        <v>0040002672</v>
      </c>
      <c r="E236" t="str">
        <f>CONCATENATE("0060111000630       ","")</f>
        <v>0060111000630       </v>
      </c>
      <c r="F236" t="str">
        <f>CONCATENATE("606589718","")</f>
        <v>606589718</v>
      </c>
      <c r="G236" t="s">
        <v>430</v>
      </c>
      <c r="H236" t="s">
        <v>543</v>
      </c>
      <c r="I236" t="s">
        <v>544</v>
      </c>
      <c r="J236" t="str">
        <f t="shared" si="22"/>
        <v>080601</v>
      </c>
      <c r="K236" t="s">
        <v>22</v>
      </c>
      <c r="L236" t="s">
        <v>23</v>
      </c>
      <c r="M236" t="str">
        <f t="shared" si="26"/>
        <v>1</v>
      </c>
      <c r="O236" t="str">
        <f t="shared" si="27"/>
        <v>1 </v>
      </c>
      <c r="P236">
        <v>9.5</v>
      </c>
      <c r="Q236" t="s">
        <v>24</v>
      </c>
    </row>
    <row r="237" spans="1:17" ht="15">
      <c r="A237" t="s">
        <v>17</v>
      </c>
      <c r="B237" s="1">
        <v>41831</v>
      </c>
      <c r="C237" t="s">
        <v>191</v>
      </c>
      <c r="D237" t="str">
        <f>CONCATENATE("0040002673","")</f>
        <v>0040002673</v>
      </c>
      <c r="E237" t="str">
        <f>CONCATENATE("0060111000640       ","")</f>
        <v>0060111000640       </v>
      </c>
      <c r="F237" t="str">
        <f>CONCATENATE("1930416","")</f>
        <v>1930416</v>
      </c>
      <c r="G237" t="s">
        <v>430</v>
      </c>
      <c r="H237" t="s">
        <v>545</v>
      </c>
      <c r="I237" t="s">
        <v>544</v>
      </c>
      <c r="J237" t="str">
        <f t="shared" si="22"/>
        <v>080601</v>
      </c>
      <c r="K237" t="s">
        <v>22</v>
      </c>
      <c r="L237" t="s">
        <v>23</v>
      </c>
      <c r="M237" t="str">
        <f>CONCATENATE("2","")</f>
        <v>2</v>
      </c>
      <c r="O237" t="str">
        <f t="shared" si="27"/>
        <v>1 </v>
      </c>
      <c r="P237">
        <v>73.9</v>
      </c>
      <c r="Q237" t="s">
        <v>24</v>
      </c>
    </row>
    <row r="238" spans="1:17" ht="15">
      <c r="A238" t="s">
        <v>17</v>
      </c>
      <c r="B238" s="1">
        <v>41831</v>
      </c>
      <c r="C238" t="s">
        <v>191</v>
      </c>
      <c r="D238" t="str">
        <f>CONCATENATE("0040013714","")</f>
        <v>0040013714</v>
      </c>
      <c r="E238" t="str">
        <f>CONCATENATE("0060111000696       ","")</f>
        <v>0060111000696       </v>
      </c>
      <c r="F238" t="str">
        <f>CONCATENATE("0606671930","")</f>
        <v>0606671930</v>
      </c>
      <c r="G238" t="s">
        <v>430</v>
      </c>
      <c r="H238" t="s">
        <v>546</v>
      </c>
      <c r="I238" t="s">
        <v>547</v>
      </c>
      <c r="J238" t="str">
        <f t="shared" si="22"/>
        <v>080601</v>
      </c>
      <c r="K238" t="s">
        <v>22</v>
      </c>
      <c r="L238" t="s">
        <v>23</v>
      </c>
      <c r="M238" t="str">
        <f aca="true" t="shared" si="28" ref="M238:M275">CONCATENATE("1","")</f>
        <v>1</v>
      </c>
      <c r="O238" t="str">
        <f t="shared" si="27"/>
        <v>1 </v>
      </c>
      <c r="P238">
        <v>122.95</v>
      </c>
      <c r="Q238" t="s">
        <v>24</v>
      </c>
    </row>
    <row r="239" spans="1:17" ht="15">
      <c r="A239" t="s">
        <v>17</v>
      </c>
      <c r="B239" s="1">
        <v>41831</v>
      </c>
      <c r="C239" t="s">
        <v>191</v>
      </c>
      <c r="D239" t="str">
        <f>CONCATENATE("0040002702","")</f>
        <v>0040002702</v>
      </c>
      <c r="E239" t="str">
        <f>CONCATENATE("0060111000840       ","")</f>
        <v>0060111000840       </v>
      </c>
      <c r="F239" t="str">
        <f>CONCATENATE("605284756","")</f>
        <v>605284756</v>
      </c>
      <c r="G239" t="s">
        <v>548</v>
      </c>
      <c r="H239" t="s">
        <v>549</v>
      </c>
      <c r="I239" t="s">
        <v>550</v>
      </c>
      <c r="J239" t="str">
        <f t="shared" si="22"/>
        <v>080601</v>
      </c>
      <c r="K239" t="s">
        <v>22</v>
      </c>
      <c r="L239" t="s">
        <v>23</v>
      </c>
      <c r="M239" t="str">
        <f t="shared" si="28"/>
        <v>1</v>
      </c>
      <c r="O239" t="str">
        <f t="shared" si="27"/>
        <v>1 </v>
      </c>
      <c r="P239">
        <v>54.9</v>
      </c>
      <c r="Q239" t="s">
        <v>24</v>
      </c>
    </row>
    <row r="240" spans="1:17" ht="15">
      <c r="A240" t="s">
        <v>17</v>
      </c>
      <c r="B240" s="1">
        <v>41831</v>
      </c>
      <c r="C240" t="s">
        <v>191</v>
      </c>
      <c r="D240" t="str">
        <f>CONCATENATE("0040018637","")</f>
        <v>0040018637</v>
      </c>
      <c r="E240" t="str">
        <f>CONCATENATE("0060111000937       ","")</f>
        <v>0060111000937       </v>
      </c>
      <c r="F240" t="str">
        <f>CONCATENATE("605279224","")</f>
        <v>605279224</v>
      </c>
      <c r="G240" t="s">
        <v>551</v>
      </c>
      <c r="H240" t="s">
        <v>552</v>
      </c>
      <c r="I240" t="s">
        <v>553</v>
      </c>
      <c r="J240" t="str">
        <f t="shared" si="22"/>
        <v>080601</v>
      </c>
      <c r="K240" t="s">
        <v>22</v>
      </c>
      <c r="L240" t="s">
        <v>23</v>
      </c>
      <c r="M240" t="str">
        <f t="shared" si="28"/>
        <v>1</v>
      </c>
      <c r="O240" t="str">
        <f t="shared" si="27"/>
        <v>1 </v>
      </c>
      <c r="P240">
        <v>37.45</v>
      </c>
      <c r="Q240" t="s">
        <v>24</v>
      </c>
    </row>
    <row r="241" spans="1:17" ht="15">
      <c r="A241" t="s">
        <v>17</v>
      </c>
      <c r="B241" s="1">
        <v>41831</v>
      </c>
      <c r="C241" t="s">
        <v>191</v>
      </c>
      <c r="D241" t="str">
        <f>CONCATENATE("0040002729","")</f>
        <v>0040002729</v>
      </c>
      <c r="E241" t="str">
        <f>CONCATENATE("0060111001070       ","")</f>
        <v>0060111001070       </v>
      </c>
      <c r="F241" t="str">
        <f>CONCATENATE("0605878554","")</f>
        <v>0605878554</v>
      </c>
      <c r="G241" t="s">
        <v>430</v>
      </c>
      <c r="H241" t="s">
        <v>554</v>
      </c>
      <c r="I241" t="s">
        <v>555</v>
      </c>
      <c r="J241" t="str">
        <f t="shared" si="22"/>
        <v>080601</v>
      </c>
      <c r="K241" t="s">
        <v>22</v>
      </c>
      <c r="L241" t="s">
        <v>23</v>
      </c>
      <c r="M241" t="str">
        <f t="shared" si="28"/>
        <v>1</v>
      </c>
      <c r="O241" t="str">
        <f t="shared" si="27"/>
        <v>1 </v>
      </c>
      <c r="P241">
        <v>53.25</v>
      </c>
      <c r="Q241" t="s">
        <v>24</v>
      </c>
    </row>
    <row r="242" spans="1:17" ht="15">
      <c r="A242" t="s">
        <v>17</v>
      </c>
      <c r="B242" s="1">
        <v>41831</v>
      </c>
      <c r="C242" t="s">
        <v>191</v>
      </c>
      <c r="D242" t="str">
        <f>CONCATENATE("0040018762","")</f>
        <v>0040018762</v>
      </c>
      <c r="E242" t="str">
        <f>CONCATENATE("0060111001155       ","")</f>
        <v>0060111001155       </v>
      </c>
      <c r="F242" t="str">
        <f>CONCATENATE("605289420","")</f>
        <v>605289420</v>
      </c>
      <c r="G242" t="s">
        <v>530</v>
      </c>
      <c r="H242" t="s">
        <v>556</v>
      </c>
      <c r="I242" t="s">
        <v>557</v>
      </c>
      <c r="J242" t="str">
        <f t="shared" si="22"/>
        <v>080601</v>
      </c>
      <c r="K242" t="s">
        <v>22</v>
      </c>
      <c r="L242" t="s">
        <v>23</v>
      </c>
      <c r="M242" t="str">
        <f t="shared" si="28"/>
        <v>1</v>
      </c>
      <c r="O242" t="str">
        <f t="shared" si="27"/>
        <v>1 </v>
      </c>
      <c r="P242">
        <v>12.5</v>
      </c>
      <c r="Q242" t="s">
        <v>24</v>
      </c>
    </row>
    <row r="243" spans="1:17" ht="15">
      <c r="A243" t="s">
        <v>17</v>
      </c>
      <c r="B243" s="1">
        <v>41831</v>
      </c>
      <c r="C243" t="s">
        <v>191</v>
      </c>
      <c r="D243" t="str">
        <f>CONCATENATE("0040017756","")</f>
        <v>0040017756</v>
      </c>
      <c r="E243" t="str">
        <f>CONCATENATE("0060111001241       ","")</f>
        <v>0060111001241       </v>
      </c>
      <c r="F243" t="str">
        <f>CONCATENATE("605113989","")</f>
        <v>605113989</v>
      </c>
      <c r="G243" t="s">
        <v>456</v>
      </c>
      <c r="H243" t="s">
        <v>558</v>
      </c>
      <c r="I243" t="s">
        <v>559</v>
      </c>
      <c r="J243" t="str">
        <f t="shared" si="22"/>
        <v>080601</v>
      </c>
      <c r="K243" t="s">
        <v>22</v>
      </c>
      <c r="L243" t="s">
        <v>23</v>
      </c>
      <c r="M243" t="str">
        <f t="shared" si="28"/>
        <v>1</v>
      </c>
      <c r="O243" t="str">
        <f t="shared" si="27"/>
        <v>1 </v>
      </c>
      <c r="P243">
        <v>105</v>
      </c>
      <c r="Q243" t="s">
        <v>24</v>
      </c>
    </row>
    <row r="244" spans="1:17" ht="15">
      <c r="A244" t="s">
        <v>17</v>
      </c>
      <c r="B244" s="1">
        <v>41831</v>
      </c>
      <c r="C244" t="s">
        <v>191</v>
      </c>
      <c r="D244" t="str">
        <f>CONCATENATE("0040017639","")</f>
        <v>0040017639</v>
      </c>
      <c r="E244" t="str">
        <f>CONCATENATE("0060111001244       ","")</f>
        <v>0060111001244       </v>
      </c>
      <c r="F244" t="str">
        <f>CONCATENATE("1240960","")</f>
        <v>1240960</v>
      </c>
      <c r="G244" t="s">
        <v>456</v>
      </c>
      <c r="H244" t="s">
        <v>560</v>
      </c>
      <c r="I244" t="s">
        <v>561</v>
      </c>
      <c r="J244" t="str">
        <f t="shared" si="22"/>
        <v>080601</v>
      </c>
      <c r="K244" t="s">
        <v>22</v>
      </c>
      <c r="L244" t="s">
        <v>23</v>
      </c>
      <c r="M244" t="str">
        <f t="shared" si="28"/>
        <v>1</v>
      </c>
      <c r="O244" t="str">
        <f t="shared" si="27"/>
        <v>1 </v>
      </c>
      <c r="P244">
        <v>51.7</v>
      </c>
      <c r="Q244" t="s">
        <v>24</v>
      </c>
    </row>
    <row r="245" spans="1:17" ht="15">
      <c r="A245" t="s">
        <v>17</v>
      </c>
      <c r="B245" s="1">
        <v>41831</v>
      </c>
      <c r="C245" t="s">
        <v>191</v>
      </c>
      <c r="D245" t="str">
        <f>CONCATENATE("0040002755","")</f>
        <v>0040002755</v>
      </c>
      <c r="E245" t="str">
        <f>CONCATENATE("0060111001270       ","")</f>
        <v>0060111001270       </v>
      </c>
      <c r="F245" t="str">
        <f>CONCATENATE("605054501","")</f>
        <v>605054501</v>
      </c>
      <c r="G245" t="s">
        <v>456</v>
      </c>
      <c r="H245" t="s">
        <v>562</v>
      </c>
      <c r="I245" t="s">
        <v>563</v>
      </c>
      <c r="J245" t="str">
        <f t="shared" si="22"/>
        <v>080601</v>
      </c>
      <c r="K245" t="s">
        <v>22</v>
      </c>
      <c r="L245" t="s">
        <v>23</v>
      </c>
      <c r="M245" t="str">
        <f t="shared" si="28"/>
        <v>1</v>
      </c>
      <c r="O245" t="str">
        <f t="shared" si="27"/>
        <v>1 </v>
      </c>
      <c r="P245">
        <v>58.75</v>
      </c>
      <c r="Q245" t="s">
        <v>24</v>
      </c>
    </row>
    <row r="246" spans="1:17" ht="15">
      <c r="A246" t="s">
        <v>17</v>
      </c>
      <c r="B246" s="1">
        <v>41831</v>
      </c>
      <c r="C246" t="s">
        <v>191</v>
      </c>
      <c r="D246" t="str">
        <f>CONCATENATE("0040017408","")</f>
        <v>0040017408</v>
      </c>
      <c r="E246" t="str">
        <f>CONCATENATE("0060111001336       ","")</f>
        <v>0060111001336       </v>
      </c>
      <c r="F246" t="str">
        <f>CONCATENATE("3310","")</f>
        <v>3310</v>
      </c>
      <c r="G246" t="s">
        <v>564</v>
      </c>
      <c r="H246" t="s">
        <v>565</v>
      </c>
      <c r="I246" t="s">
        <v>566</v>
      </c>
      <c r="J246" t="str">
        <f t="shared" si="22"/>
        <v>080601</v>
      </c>
      <c r="K246" t="s">
        <v>22</v>
      </c>
      <c r="L246" t="s">
        <v>23</v>
      </c>
      <c r="M246" t="str">
        <f t="shared" si="28"/>
        <v>1</v>
      </c>
      <c r="O246" t="str">
        <f t="shared" si="27"/>
        <v>1 </v>
      </c>
      <c r="P246">
        <v>67.8</v>
      </c>
      <c r="Q246" t="s">
        <v>24</v>
      </c>
    </row>
    <row r="247" spans="1:17" ht="15">
      <c r="A247" t="s">
        <v>17</v>
      </c>
      <c r="B247" s="1">
        <v>41831</v>
      </c>
      <c r="C247" t="s">
        <v>191</v>
      </c>
      <c r="D247" t="str">
        <f>CONCATENATE("0040015709","")</f>
        <v>0040015709</v>
      </c>
      <c r="E247" t="str">
        <f>CONCATENATE("0060111002235       ","")</f>
        <v>0060111002235       </v>
      </c>
      <c r="F247" t="str">
        <f>CONCATENATE("0606674091","")</f>
        <v>0606674091</v>
      </c>
      <c r="G247" t="s">
        <v>548</v>
      </c>
      <c r="H247" t="s">
        <v>567</v>
      </c>
      <c r="I247" t="s">
        <v>568</v>
      </c>
      <c r="J247" t="str">
        <f t="shared" si="22"/>
        <v>080601</v>
      </c>
      <c r="K247" t="s">
        <v>22</v>
      </c>
      <c r="L247" t="s">
        <v>23</v>
      </c>
      <c r="M247" t="str">
        <f t="shared" si="28"/>
        <v>1</v>
      </c>
      <c r="O247" t="str">
        <f t="shared" si="27"/>
        <v>1 </v>
      </c>
      <c r="P247">
        <v>41.05</v>
      </c>
      <c r="Q247" t="s">
        <v>24</v>
      </c>
    </row>
    <row r="248" spans="1:17" ht="15">
      <c r="A248" t="s">
        <v>17</v>
      </c>
      <c r="B248" s="1">
        <v>41831</v>
      </c>
      <c r="C248" t="s">
        <v>191</v>
      </c>
      <c r="D248" t="str">
        <f>CONCATENATE("0040021760","")</f>
        <v>0040021760</v>
      </c>
      <c r="E248" t="str">
        <f>CONCATENATE("0060111002422       ","")</f>
        <v>0060111002422       </v>
      </c>
      <c r="F248" t="str">
        <f>CONCATENATE("1602650","")</f>
        <v>1602650</v>
      </c>
      <c r="G248" t="s">
        <v>548</v>
      </c>
      <c r="H248" t="s">
        <v>569</v>
      </c>
      <c r="I248" t="s">
        <v>570</v>
      </c>
      <c r="J248" t="str">
        <f t="shared" si="22"/>
        <v>080601</v>
      </c>
      <c r="K248" t="s">
        <v>22</v>
      </c>
      <c r="L248" t="s">
        <v>23</v>
      </c>
      <c r="M248" t="str">
        <f t="shared" si="28"/>
        <v>1</v>
      </c>
      <c r="O248" t="str">
        <f t="shared" si="27"/>
        <v>1 </v>
      </c>
      <c r="P248">
        <v>24.65</v>
      </c>
      <c r="Q248" t="s">
        <v>24</v>
      </c>
    </row>
    <row r="249" spans="1:17" ht="15">
      <c r="A249" t="s">
        <v>17</v>
      </c>
      <c r="B249" s="1">
        <v>41831</v>
      </c>
      <c r="C249" t="s">
        <v>191</v>
      </c>
      <c r="D249" t="str">
        <f>CONCATENATE("0040012051","")</f>
        <v>0040012051</v>
      </c>
      <c r="E249" t="str">
        <f>CONCATENATE("0060111002503       ","")</f>
        <v>0060111002503       </v>
      </c>
      <c r="F249" t="str">
        <f>CONCATENATE("605557139","")</f>
        <v>605557139</v>
      </c>
      <c r="G249" t="s">
        <v>456</v>
      </c>
      <c r="H249" t="s">
        <v>571</v>
      </c>
      <c r="I249" t="s">
        <v>572</v>
      </c>
      <c r="J249" t="str">
        <f t="shared" si="22"/>
        <v>080601</v>
      </c>
      <c r="K249" t="s">
        <v>22</v>
      </c>
      <c r="L249" t="s">
        <v>23</v>
      </c>
      <c r="M249" t="str">
        <f t="shared" si="28"/>
        <v>1</v>
      </c>
      <c r="O249" t="str">
        <f t="shared" si="27"/>
        <v>1 </v>
      </c>
      <c r="P249">
        <v>157.25</v>
      </c>
      <c r="Q249" t="s">
        <v>24</v>
      </c>
    </row>
    <row r="250" spans="1:17" ht="15">
      <c r="A250" t="s">
        <v>17</v>
      </c>
      <c r="B250" s="1">
        <v>41831</v>
      </c>
      <c r="C250" t="s">
        <v>191</v>
      </c>
      <c r="D250" t="str">
        <f>CONCATENATE("0040002862","")</f>
        <v>0040002862</v>
      </c>
      <c r="E250" t="str">
        <f>CONCATENATE("0060111002635       ","")</f>
        <v>0060111002635       </v>
      </c>
      <c r="F250" t="str">
        <f>CONCATENATE("605054881","")</f>
        <v>605054881</v>
      </c>
      <c r="G250" t="s">
        <v>548</v>
      </c>
      <c r="H250" t="s">
        <v>573</v>
      </c>
      <c r="I250" t="s">
        <v>574</v>
      </c>
      <c r="J250" t="str">
        <f t="shared" si="22"/>
        <v>080601</v>
      </c>
      <c r="K250" t="s">
        <v>22</v>
      </c>
      <c r="L250" t="s">
        <v>23</v>
      </c>
      <c r="M250" t="str">
        <f t="shared" si="28"/>
        <v>1</v>
      </c>
      <c r="O250" t="str">
        <f t="shared" si="27"/>
        <v>1 </v>
      </c>
      <c r="P250">
        <v>106</v>
      </c>
      <c r="Q250" t="s">
        <v>24</v>
      </c>
    </row>
    <row r="251" spans="1:17" ht="15">
      <c r="A251" t="s">
        <v>17</v>
      </c>
      <c r="B251" s="1">
        <v>41831</v>
      </c>
      <c r="C251" t="s">
        <v>191</v>
      </c>
      <c r="D251" t="str">
        <f>CONCATENATE("0040009242","")</f>
        <v>0040009242</v>
      </c>
      <c r="E251" t="str">
        <f>CONCATENATE("0060111003135       ","")</f>
        <v>0060111003135       </v>
      </c>
      <c r="F251" t="str">
        <f>CONCATENATE("54700461","")</f>
        <v>54700461</v>
      </c>
      <c r="G251" t="s">
        <v>564</v>
      </c>
      <c r="H251" t="s">
        <v>575</v>
      </c>
      <c r="I251" t="s">
        <v>576</v>
      </c>
      <c r="J251" t="str">
        <f t="shared" si="22"/>
        <v>080601</v>
      </c>
      <c r="K251" t="s">
        <v>22</v>
      </c>
      <c r="L251" t="s">
        <v>23</v>
      </c>
      <c r="M251" t="str">
        <f t="shared" si="28"/>
        <v>1</v>
      </c>
      <c r="O251" t="str">
        <f t="shared" si="27"/>
        <v>1 </v>
      </c>
      <c r="P251">
        <v>68.45</v>
      </c>
      <c r="Q251" t="s">
        <v>24</v>
      </c>
    </row>
    <row r="252" spans="1:17" ht="15">
      <c r="A252" t="s">
        <v>17</v>
      </c>
      <c r="B252" s="1">
        <v>41831</v>
      </c>
      <c r="C252" t="s">
        <v>191</v>
      </c>
      <c r="D252" t="str">
        <f>CONCATENATE("0040020408","")</f>
        <v>0040020408</v>
      </c>
      <c r="E252" t="str">
        <f>CONCATENATE("0060111003154       ","")</f>
        <v>0060111003154       </v>
      </c>
      <c r="F252" t="str">
        <f>CONCATENATE("605932843","")</f>
        <v>605932843</v>
      </c>
      <c r="G252" t="s">
        <v>564</v>
      </c>
      <c r="H252" t="s">
        <v>577</v>
      </c>
      <c r="I252" t="s">
        <v>578</v>
      </c>
      <c r="J252" t="str">
        <f t="shared" si="22"/>
        <v>080601</v>
      </c>
      <c r="K252" t="s">
        <v>22</v>
      </c>
      <c r="L252" t="s">
        <v>23</v>
      </c>
      <c r="M252" t="str">
        <f t="shared" si="28"/>
        <v>1</v>
      </c>
      <c r="O252" t="str">
        <f t="shared" si="27"/>
        <v>1 </v>
      </c>
      <c r="P252">
        <v>45.9</v>
      </c>
      <c r="Q252" t="s">
        <v>24</v>
      </c>
    </row>
    <row r="253" spans="1:17" ht="15">
      <c r="A253" t="s">
        <v>17</v>
      </c>
      <c r="B253" s="1">
        <v>41831</v>
      </c>
      <c r="C253" t="s">
        <v>191</v>
      </c>
      <c r="D253" t="str">
        <f>CONCATENATE("0040002937","")</f>
        <v>0040002937</v>
      </c>
      <c r="E253" t="str">
        <f>CONCATENATE("0060111004020       ","")</f>
        <v>0060111004020       </v>
      </c>
      <c r="F253" t="str">
        <f>CONCATENATE("0605876749","")</f>
        <v>0605876749</v>
      </c>
      <c r="G253" t="s">
        <v>477</v>
      </c>
      <c r="H253" t="s">
        <v>579</v>
      </c>
      <c r="I253" t="str">
        <f>CONCATENATE("8-DE-SETIEMBRE-A-3","")</f>
        <v>8-DE-SETIEMBRE-A-3</v>
      </c>
      <c r="J253" t="str">
        <f t="shared" si="22"/>
        <v>080601</v>
      </c>
      <c r="K253" t="s">
        <v>22</v>
      </c>
      <c r="L253" t="s">
        <v>23</v>
      </c>
      <c r="M253" t="str">
        <f t="shared" si="28"/>
        <v>1</v>
      </c>
      <c r="O253" t="str">
        <f t="shared" si="27"/>
        <v>1 </v>
      </c>
      <c r="P253">
        <v>57.95</v>
      </c>
      <c r="Q253" t="s">
        <v>24</v>
      </c>
    </row>
    <row r="254" spans="1:17" ht="15">
      <c r="A254" t="s">
        <v>17</v>
      </c>
      <c r="B254" s="1">
        <v>41831</v>
      </c>
      <c r="C254" t="s">
        <v>191</v>
      </c>
      <c r="D254" t="str">
        <f>CONCATENATE("0040030546","")</f>
        <v>0040030546</v>
      </c>
      <c r="E254" t="str">
        <f>CONCATENATE("0060111004137       ","")</f>
        <v>0060111004137       </v>
      </c>
      <c r="F254" t="str">
        <f>CONCATENATE("2189196","")</f>
        <v>2189196</v>
      </c>
      <c r="G254" t="s">
        <v>477</v>
      </c>
      <c r="H254" t="s">
        <v>580</v>
      </c>
      <c r="I254" t="s">
        <v>581</v>
      </c>
      <c r="J254" t="str">
        <f t="shared" si="22"/>
        <v>080601</v>
      </c>
      <c r="K254" t="s">
        <v>22</v>
      </c>
      <c r="L254" t="s">
        <v>23</v>
      </c>
      <c r="M254" t="str">
        <f t="shared" si="28"/>
        <v>1</v>
      </c>
      <c r="O254" t="str">
        <f t="shared" si="27"/>
        <v>1 </v>
      </c>
      <c r="P254">
        <v>144.6</v>
      </c>
      <c r="Q254" t="s">
        <v>24</v>
      </c>
    </row>
    <row r="255" spans="1:17" ht="15">
      <c r="A255" t="s">
        <v>17</v>
      </c>
      <c r="B255" s="1">
        <v>41831</v>
      </c>
      <c r="C255" t="s">
        <v>191</v>
      </c>
      <c r="D255" t="str">
        <f>CONCATENATE("0040002956","")</f>
        <v>0040002956</v>
      </c>
      <c r="E255" t="str">
        <f>CONCATENATE("0060111004325       ","")</f>
        <v>0060111004325       </v>
      </c>
      <c r="F255" t="str">
        <f>CONCATENATE("605557132","")</f>
        <v>605557132</v>
      </c>
      <c r="G255" t="s">
        <v>477</v>
      </c>
      <c r="H255" t="s">
        <v>582</v>
      </c>
      <c r="I255" t="str">
        <f>CONCATENATE("8-DE-SETIEMBRE--S-N","")</f>
        <v>8-DE-SETIEMBRE--S-N</v>
      </c>
      <c r="J255" t="str">
        <f t="shared" si="22"/>
        <v>080601</v>
      </c>
      <c r="K255" t="s">
        <v>22</v>
      </c>
      <c r="L255" t="s">
        <v>23</v>
      </c>
      <c r="M255" t="str">
        <f t="shared" si="28"/>
        <v>1</v>
      </c>
      <c r="O255" t="str">
        <f t="shared" si="27"/>
        <v>1 </v>
      </c>
      <c r="P255">
        <v>97.1</v>
      </c>
      <c r="Q255" t="s">
        <v>24</v>
      </c>
    </row>
    <row r="256" spans="1:17" ht="15">
      <c r="A256" t="s">
        <v>17</v>
      </c>
      <c r="B256" s="1">
        <v>41831</v>
      </c>
      <c r="C256" t="s">
        <v>191</v>
      </c>
      <c r="D256" t="str">
        <f>CONCATENATE("0040009992","")</f>
        <v>0040009992</v>
      </c>
      <c r="E256" t="str">
        <f>CONCATENATE("0060111005013       ","")</f>
        <v>0060111005013       </v>
      </c>
      <c r="F256" t="str">
        <f>CONCATENATE("605121660","")</f>
        <v>605121660</v>
      </c>
      <c r="G256" t="s">
        <v>551</v>
      </c>
      <c r="H256" t="s">
        <v>583</v>
      </c>
      <c r="I256" t="str">
        <f>CONCATENATE("3-DE-MAYO-S-N","")</f>
        <v>3-DE-MAYO-S-N</v>
      </c>
      <c r="J256" t="str">
        <f t="shared" si="22"/>
        <v>080601</v>
      </c>
      <c r="K256" t="s">
        <v>22</v>
      </c>
      <c r="L256" t="s">
        <v>23</v>
      </c>
      <c r="M256" t="str">
        <f t="shared" si="28"/>
        <v>1</v>
      </c>
      <c r="O256" t="str">
        <f t="shared" si="27"/>
        <v>1 </v>
      </c>
      <c r="P256">
        <v>33.6</v>
      </c>
      <c r="Q256" t="s">
        <v>24</v>
      </c>
    </row>
    <row r="257" spans="1:17" ht="15">
      <c r="A257" t="s">
        <v>17</v>
      </c>
      <c r="B257" s="1">
        <v>41831</v>
      </c>
      <c r="C257" t="s">
        <v>191</v>
      </c>
      <c r="D257" t="str">
        <f>CONCATENATE("0040019978","")</f>
        <v>0040019978</v>
      </c>
      <c r="E257" t="str">
        <f>CONCATENATE("0060111005189       ","")</f>
        <v>0060111005189       </v>
      </c>
      <c r="F257" t="str">
        <f>CONCATENATE("605753262","")</f>
        <v>605753262</v>
      </c>
      <c r="G257" t="s">
        <v>430</v>
      </c>
      <c r="H257" t="s">
        <v>584</v>
      </c>
      <c r="I257" t="s">
        <v>585</v>
      </c>
      <c r="J257" t="str">
        <f t="shared" si="22"/>
        <v>080601</v>
      </c>
      <c r="K257" t="s">
        <v>22</v>
      </c>
      <c r="L257" t="s">
        <v>23</v>
      </c>
      <c r="M257" t="str">
        <f t="shared" si="28"/>
        <v>1</v>
      </c>
      <c r="O257" t="str">
        <f t="shared" si="27"/>
        <v>1 </v>
      </c>
      <c r="P257">
        <v>96.1</v>
      </c>
      <c r="Q257" t="s">
        <v>24</v>
      </c>
    </row>
    <row r="258" spans="1:17" ht="15">
      <c r="A258" t="s">
        <v>17</v>
      </c>
      <c r="B258" s="1">
        <v>41831</v>
      </c>
      <c r="C258" t="s">
        <v>191</v>
      </c>
      <c r="D258" t="str">
        <f>CONCATENATE("0040019683","")</f>
        <v>0040019683</v>
      </c>
      <c r="E258" t="str">
        <f>CONCATENATE("0060111005238       ","")</f>
        <v>0060111005238       </v>
      </c>
      <c r="F258" t="str">
        <f>CONCATENATE("605620216","")</f>
        <v>605620216</v>
      </c>
      <c r="G258" t="s">
        <v>430</v>
      </c>
      <c r="H258" t="s">
        <v>586</v>
      </c>
      <c r="I258" t="s">
        <v>587</v>
      </c>
      <c r="J258" t="str">
        <f t="shared" si="22"/>
        <v>080601</v>
      </c>
      <c r="K258" t="s">
        <v>22</v>
      </c>
      <c r="L258" t="s">
        <v>23</v>
      </c>
      <c r="M258" t="str">
        <f t="shared" si="28"/>
        <v>1</v>
      </c>
      <c r="O258" t="str">
        <f t="shared" si="27"/>
        <v>1 </v>
      </c>
      <c r="P258">
        <v>38.65</v>
      </c>
      <c r="Q258" t="s">
        <v>24</v>
      </c>
    </row>
    <row r="259" spans="1:17" ht="15">
      <c r="A259" t="s">
        <v>17</v>
      </c>
      <c r="B259" s="1">
        <v>41831</v>
      </c>
      <c r="C259" t="s">
        <v>191</v>
      </c>
      <c r="D259" t="str">
        <f>CONCATENATE("0040015358","")</f>
        <v>0040015358</v>
      </c>
      <c r="E259" t="str">
        <f>CONCATENATE("0060111006087       ","")</f>
        <v>0060111006087       </v>
      </c>
      <c r="F259" t="str">
        <f>CONCATENATE("02567212","")</f>
        <v>02567212</v>
      </c>
      <c r="G259" t="s">
        <v>530</v>
      </c>
      <c r="H259" t="s">
        <v>588</v>
      </c>
      <c r="I259" t="s">
        <v>589</v>
      </c>
      <c r="J259" t="str">
        <f t="shared" si="22"/>
        <v>080601</v>
      </c>
      <c r="K259" t="s">
        <v>22</v>
      </c>
      <c r="L259" t="s">
        <v>23</v>
      </c>
      <c r="M259" t="str">
        <f t="shared" si="28"/>
        <v>1</v>
      </c>
      <c r="O259" t="str">
        <f t="shared" si="27"/>
        <v>1 </v>
      </c>
      <c r="P259">
        <v>20.1</v>
      </c>
      <c r="Q259" t="s">
        <v>24</v>
      </c>
    </row>
    <row r="260" spans="1:17" ht="15">
      <c r="A260" t="s">
        <v>17</v>
      </c>
      <c r="B260" s="1">
        <v>41831</v>
      </c>
      <c r="C260" t="s">
        <v>191</v>
      </c>
      <c r="D260" t="str">
        <f>CONCATENATE("0040017689","")</f>
        <v>0040017689</v>
      </c>
      <c r="E260" t="str">
        <f>CONCATENATE("0060111006412       ","")</f>
        <v>0060111006412       </v>
      </c>
      <c r="F260" t="str">
        <f>CONCATENATE("60534","")</f>
        <v>60534</v>
      </c>
      <c r="G260" t="s">
        <v>530</v>
      </c>
      <c r="H260" t="s">
        <v>590</v>
      </c>
      <c r="I260" t="s">
        <v>591</v>
      </c>
      <c r="J260" t="str">
        <f aca="true" t="shared" si="29" ref="J260:J323">CONCATENATE("080601","")</f>
        <v>080601</v>
      </c>
      <c r="K260" t="s">
        <v>22</v>
      </c>
      <c r="L260" t="s">
        <v>23</v>
      </c>
      <c r="M260" t="str">
        <f t="shared" si="28"/>
        <v>1</v>
      </c>
      <c r="O260" t="str">
        <f>CONCATENATE("3 ","")</f>
        <v>3 </v>
      </c>
      <c r="P260">
        <v>21.2</v>
      </c>
      <c r="Q260" t="s">
        <v>326</v>
      </c>
    </row>
    <row r="261" spans="1:17" ht="15">
      <c r="A261" t="s">
        <v>17</v>
      </c>
      <c r="B261" s="1">
        <v>41831</v>
      </c>
      <c r="C261" t="s">
        <v>191</v>
      </c>
      <c r="D261" t="str">
        <f>CONCATENATE("0040016229","")</f>
        <v>0040016229</v>
      </c>
      <c r="E261" t="str">
        <f>CONCATENATE("0060111006650       ","")</f>
        <v>0060111006650       </v>
      </c>
      <c r="F261" t="str">
        <f>CONCATENATE("00000328631","")</f>
        <v>00000328631</v>
      </c>
      <c r="G261" t="s">
        <v>530</v>
      </c>
      <c r="H261" t="s">
        <v>592</v>
      </c>
      <c r="I261" t="s">
        <v>593</v>
      </c>
      <c r="J261" t="str">
        <f t="shared" si="29"/>
        <v>080601</v>
      </c>
      <c r="K261" t="s">
        <v>22</v>
      </c>
      <c r="L261" t="s">
        <v>23</v>
      </c>
      <c r="M261" t="str">
        <f t="shared" si="28"/>
        <v>1</v>
      </c>
      <c r="O261" t="str">
        <f>CONCATENATE("2 ","")</f>
        <v>2 </v>
      </c>
      <c r="P261">
        <v>110.5</v>
      </c>
      <c r="Q261" t="s">
        <v>24</v>
      </c>
    </row>
    <row r="262" spans="1:17" ht="15">
      <c r="A262" t="s">
        <v>17</v>
      </c>
      <c r="B262" s="1">
        <v>41831</v>
      </c>
      <c r="C262" t="s">
        <v>191</v>
      </c>
      <c r="D262" t="str">
        <f>CONCATENATE("0040033911","")</f>
        <v>0040033911</v>
      </c>
      <c r="E262" t="str">
        <f>CONCATENATE("0060111006858       ","")</f>
        <v>0060111006858       </v>
      </c>
      <c r="F262" t="str">
        <f>CONCATENATE("0606672475","")</f>
        <v>0606672475</v>
      </c>
      <c r="G262" t="s">
        <v>530</v>
      </c>
      <c r="H262" t="s">
        <v>594</v>
      </c>
      <c r="I262" t="s">
        <v>595</v>
      </c>
      <c r="J262" t="str">
        <f t="shared" si="29"/>
        <v>080601</v>
      </c>
      <c r="K262" t="s">
        <v>22</v>
      </c>
      <c r="L262" t="s">
        <v>23</v>
      </c>
      <c r="M262" t="str">
        <f t="shared" si="28"/>
        <v>1</v>
      </c>
      <c r="O262" t="str">
        <f aca="true" t="shared" si="30" ref="O262:O295">CONCATENATE("1 ","")</f>
        <v>1 </v>
      </c>
      <c r="P262">
        <v>9.6</v>
      </c>
      <c r="Q262" t="s">
        <v>24</v>
      </c>
    </row>
    <row r="263" spans="1:17" ht="15">
      <c r="A263" t="s">
        <v>17</v>
      </c>
      <c r="B263" s="1">
        <v>41831</v>
      </c>
      <c r="C263" t="s">
        <v>191</v>
      </c>
      <c r="D263" t="str">
        <f>CONCATENATE("0040023061","")</f>
        <v>0040023061</v>
      </c>
      <c r="E263" t="str">
        <f>CONCATENATE("0060111006935       ","")</f>
        <v>0060111006935       </v>
      </c>
      <c r="F263" t="str">
        <f>CONCATENATE("1677540","")</f>
        <v>1677540</v>
      </c>
      <c r="G263" t="s">
        <v>530</v>
      </c>
      <c r="H263" t="s">
        <v>596</v>
      </c>
      <c r="I263" t="s">
        <v>597</v>
      </c>
      <c r="J263" t="str">
        <f t="shared" si="29"/>
        <v>080601</v>
      </c>
      <c r="K263" t="s">
        <v>22</v>
      </c>
      <c r="L263" t="s">
        <v>23</v>
      </c>
      <c r="M263" t="str">
        <f t="shared" si="28"/>
        <v>1</v>
      </c>
      <c r="O263" t="str">
        <f t="shared" si="30"/>
        <v>1 </v>
      </c>
      <c r="P263">
        <v>19.8</v>
      </c>
      <c r="Q263" t="s">
        <v>24</v>
      </c>
    </row>
    <row r="264" spans="1:17" ht="15">
      <c r="A264" t="s">
        <v>17</v>
      </c>
      <c r="B264" s="1">
        <v>41831</v>
      </c>
      <c r="C264" t="s">
        <v>191</v>
      </c>
      <c r="D264" t="str">
        <f>CONCATENATE("0040016613","")</f>
        <v>0040016613</v>
      </c>
      <c r="E264" t="str">
        <f>CONCATENATE("0060111008074       ","")</f>
        <v>0060111008074       </v>
      </c>
      <c r="F264" t="str">
        <f>CONCATENATE("2127332","")</f>
        <v>2127332</v>
      </c>
      <c r="G264" t="s">
        <v>551</v>
      </c>
      <c r="H264" t="s">
        <v>598</v>
      </c>
      <c r="I264" t="s">
        <v>599</v>
      </c>
      <c r="J264" t="str">
        <f t="shared" si="29"/>
        <v>080601</v>
      </c>
      <c r="K264" t="s">
        <v>22</v>
      </c>
      <c r="L264" t="s">
        <v>23</v>
      </c>
      <c r="M264" t="str">
        <f t="shared" si="28"/>
        <v>1</v>
      </c>
      <c r="O264" t="str">
        <f t="shared" si="30"/>
        <v>1 </v>
      </c>
      <c r="P264">
        <v>13.95</v>
      </c>
      <c r="Q264" t="s">
        <v>24</v>
      </c>
    </row>
    <row r="265" spans="1:17" ht="15">
      <c r="A265" t="s">
        <v>17</v>
      </c>
      <c r="B265" s="1">
        <v>41831</v>
      </c>
      <c r="C265" t="s">
        <v>191</v>
      </c>
      <c r="D265" t="str">
        <f>CONCATENATE("0040015474","")</f>
        <v>0040015474</v>
      </c>
      <c r="E265" t="str">
        <f>CONCATENATE("0060111008075       ","")</f>
        <v>0060111008075       </v>
      </c>
      <c r="F265" t="str">
        <f>CONCATENATE("0606668505","")</f>
        <v>0606668505</v>
      </c>
      <c r="G265" t="s">
        <v>551</v>
      </c>
      <c r="H265" t="s">
        <v>600</v>
      </c>
      <c r="I265" t="s">
        <v>601</v>
      </c>
      <c r="J265" t="str">
        <f t="shared" si="29"/>
        <v>080601</v>
      </c>
      <c r="K265" t="s">
        <v>22</v>
      </c>
      <c r="L265" t="s">
        <v>23</v>
      </c>
      <c r="M265" t="str">
        <f t="shared" si="28"/>
        <v>1</v>
      </c>
      <c r="O265" t="str">
        <f t="shared" si="30"/>
        <v>1 </v>
      </c>
      <c r="P265">
        <v>325.85</v>
      </c>
      <c r="Q265" t="s">
        <v>24</v>
      </c>
    </row>
    <row r="266" spans="1:17" ht="15">
      <c r="A266" t="s">
        <v>17</v>
      </c>
      <c r="B266" s="1">
        <v>41831</v>
      </c>
      <c r="C266" t="s">
        <v>191</v>
      </c>
      <c r="D266" t="str">
        <f>CONCATENATE("0040027559","")</f>
        <v>0040027559</v>
      </c>
      <c r="E266" t="str">
        <f>CONCATENATE("0060111010045       ","")</f>
        <v>0060111010045       </v>
      </c>
      <c r="F266" t="str">
        <f>CONCATENATE("2120563","")</f>
        <v>2120563</v>
      </c>
      <c r="G266" t="s">
        <v>564</v>
      </c>
      <c r="H266" t="s">
        <v>602</v>
      </c>
      <c r="I266" t="s">
        <v>603</v>
      </c>
      <c r="J266" t="str">
        <f t="shared" si="29"/>
        <v>080601</v>
      </c>
      <c r="K266" t="s">
        <v>22</v>
      </c>
      <c r="L266" t="s">
        <v>23</v>
      </c>
      <c r="M266" t="str">
        <f t="shared" si="28"/>
        <v>1</v>
      </c>
      <c r="O266" t="str">
        <f t="shared" si="30"/>
        <v>1 </v>
      </c>
      <c r="P266">
        <v>37.3</v>
      </c>
      <c r="Q266" t="s">
        <v>24</v>
      </c>
    </row>
    <row r="267" spans="1:17" ht="15">
      <c r="A267" t="s">
        <v>17</v>
      </c>
      <c r="B267" s="1">
        <v>41831</v>
      </c>
      <c r="C267" t="s">
        <v>191</v>
      </c>
      <c r="D267" t="str">
        <f>CONCATENATE("0040002993","")</f>
        <v>0040002993</v>
      </c>
      <c r="E267" t="str">
        <f>CONCATENATE("0060112000041       ","")</f>
        <v>0060112000041       </v>
      </c>
      <c r="F267" t="str">
        <f>CONCATENATE("605055646","")</f>
        <v>605055646</v>
      </c>
      <c r="G267" t="s">
        <v>604</v>
      </c>
      <c r="H267" t="s">
        <v>605</v>
      </c>
      <c r="I267" t="s">
        <v>606</v>
      </c>
      <c r="J267" t="str">
        <f t="shared" si="29"/>
        <v>080601</v>
      </c>
      <c r="K267" t="s">
        <v>22</v>
      </c>
      <c r="L267" t="s">
        <v>23</v>
      </c>
      <c r="M267" t="str">
        <f t="shared" si="28"/>
        <v>1</v>
      </c>
      <c r="O267" t="str">
        <f t="shared" si="30"/>
        <v>1 </v>
      </c>
      <c r="P267">
        <v>43</v>
      </c>
      <c r="Q267" t="s">
        <v>24</v>
      </c>
    </row>
    <row r="268" spans="1:17" ht="15">
      <c r="A268" t="s">
        <v>17</v>
      </c>
      <c r="B268" s="1">
        <v>41831</v>
      </c>
      <c r="C268" t="s">
        <v>191</v>
      </c>
      <c r="D268" t="str">
        <f>CONCATENATE("0040014187","")</f>
        <v>0040014187</v>
      </c>
      <c r="E268" t="str">
        <f>CONCATENATE("0060112000632       ","")</f>
        <v>0060112000632       </v>
      </c>
      <c r="F268" t="str">
        <f>CONCATENATE("00000047276","")</f>
        <v>00000047276</v>
      </c>
      <c r="G268" t="s">
        <v>607</v>
      </c>
      <c r="H268" t="s">
        <v>608</v>
      </c>
      <c r="I268" t="s">
        <v>609</v>
      </c>
      <c r="J268" t="str">
        <f t="shared" si="29"/>
        <v>080601</v>
      </c>
      <c r="K268" t="s">
        <v>22</v>
      </c>
      <c r="L268" t="s">
        <v>23</v>
      </c>
      <c r="M268" t="str">
        <f t="shared" si="28"/>
        <v>1</v>
      </c>
      <c r="O268" t="str">
        <f t="shared" si="30"/>
        <v>1 </v>
      </c>
      <c r="P268">
        <v>85.85</v>
      </c>
      <c r="Q268" t="s">
        <v>24</v>
      </c>
    </row>
    <row r="269" spans="1:17" ht="15">
      <c r="A269" t="s">
        <v>17</v>
      </c>
      <c r="B269" s="1">
        <v>41831</v>
      </c>
      <c r="C269" t="s">
        <v>191</v>
      </c>
      <c r="D269" t="str">
        <f>CONCATENATE("0040018084","")</f>
        <v>0040018084</v>
      </c>
      <c r="E269" t="str">
        <f>CONCATENATE("0060112000645       ","")</f>
        <v>0060112000645       </v>
      </c>
      <c r="F269" t="str">
        <f>CONCATENATE("1427918","")</f>
        <v>1427918</v>
      </c>
      <c r="G269" t="s">
        <v>610</v>
      </c>
      <c r="H269" t="s">
        <v>611</v>
      </c>
      <c r="I269" t="s">
        <v>612</v>
      </c>
      <c r="J269" t="str">
        <f t="shared" si="29"/>
        <v>080601</v>
      </c>
      <c r="K269" t="s">
        <v>22</v>
      </c>
      <c r="L269" t="s">
        <v>23</v>
      </c>
      <c r="M269" t="str">
        <f t="shared" si="28"/>
        <v>1</v>
      </c>
      <c r="O269" t="str">
        <f t="shared" si="30"/>
        <v>1 </v>
      </c>
      <c r="P269">
        <v>32.35</v>
      </c>
      <c r="Q269" t="s">
        <v>24</v>
      </c>
    </row>
    <row r="270" spans="1:17" ht="15">
      <c r="A270" t="s">
        <v>17</v>
      </c>
      <c r="B270" s="1">
        <v>41831</v>
      </c>
      <c r="C270" t="s">
        <v>191</v>
      </c>
      <c r="D270" t="str">
        <f>CONCATENATE("0040008177","")</f>
        <v>0040008177</v>
      </c>
      <c r="E270" t="str">
        <f>CONCATENATE("0060112000680       ","")</f>
        <v>0060112000680       </v>
      </c>
      <c r="F270" t="str">
        <f>CONCATENATE("605120439","")</f>
        <v>605120439</v>
      </c>
      <c r="G270" t="s">
        <v>607</v>
      </c>
      <c r="H270" t="s">
        <v>613</v>
      </c>
      <c r="I270" t="s">
        <v>614</v>
      </c>
      <c r="J270" t="str">
        <f t="shared" si="29"/>
        <v>080601</v>
      </c>
      <c r="K270" t="s">
        <v>22</v>
      </c>
      <c r="L270" t="s">
        <v>23</v>
      </c>
      <c r="M270" t="str">
        <f t="shared" si="28"/>
        <v>1</v>
      </c>
      <c r="O270" t="str">
        <f t="shared" si="30"/>
        <v>1 </v>
      </c>
      <c r="P270">
        <v>40.95</v>
      </c>
      <c r="Q270" t="s">
        <v>24</v>
      </c>
    </row>
    <row r="271" spans="1:17" ht="15">
      <c r="A271" t="s">
        <v>17</v>
      </c>
      <c r="B271" s="1">
        <v>41831</v>
      </c>
      <c r="C271" t="s">
        <v>191</v>
      </c>
      <c r="D271" t="str">
        <f>CONCATENATE("0040027313","")</f>
        <v>0040027313</v>
      </c>
      <c r="E271" t="str">
        <f>CONCATENATE("0060112000682       ","")</f>
        <v>0060112000682       </v>
      </c>
      <c r="F271" t="str">
        <f>CONCATENATE("2128819","")</f>
        <v>2128819</v>
      </c>
      <c r="G271" t="s">
        <v>607</v>
      </c>
      <c r="H271" t="s">
        <v>615</v>
      </c>
      <c r="I271" t="s">
        <v>616</v>
      </c>
      <c r="J271" t="str">
        <f t="shared" si="29"/>
        <v>080601</v>
      </c>
      <c r="K271" t="s">
        <v>22</v>
      </c>
      <c r="L271" t="s">
        <v>23</v>
      </c>
      <c r="M271" t="str">
        <f t="shared" si="28"/>
        <v>1</v>
      </c>
      <c r="O271" t="str">
        <f t="shared" si="30"/>
        <v>1 </v>
      </c>
      <c r="P271">
        <v>70.6</v>
      </c>
      <c r="Q271" t="s">
        <v>24</v>
      </c>
    </row>
    <row r="272" spans="1:17" ht="15">
      <c r="A272" t="s">
        <v>17</v>
      </c>
      <c r="B272" s="1">
        <v>41831</v>
      </c>
      <c r="C272" t="s">
        <v>191</v>
      </c>
      <c r="D272" t="str">
        <f>CONCATENATE("0040022822","")</f>
        <v>0040022822</v>
      </c>
      <c r="E272" t="str">
        <f>CONCATENATE("0060112000793       ","")</f>
        <v>0060112000793       </v>
      </c>
      <c r="F272" t="str">
        <f>CONCATENATE("1675994","")</f>
        <v>1675994</v>
      </c>
      <c r="G272" t="s">
        <v>607</v>
      </c>
      <c r="H272" t="s">
        <v>617</v>
      </c>
      <c r="I272" t="s">
        <v>618</v>
      </c>
      <c r="J272" t="str">
        <f t="shared" si="29"/>
        <v>080601</v>
      </c>
      <c r="K272" t="s">
        <v>22</v>
      </c>
      <c r="L272" t="s">
        <v>23</v>
      </c>
      <c r="M272" t="str">
        <f t="shared" si="28"/>
        <v>1</v>
      </c>
      <c r="O272" t="str">
        <f t="shared" si="30"/>
        <v>1 </v>
      </c>
      <c r="P272">
        <v>26</v>
      </c>
      <c r="Q272" t="s">
        <v>24</v>
      </c>
    </row>
    <row r="273" spans="1:17" ht="15">
      <c r="A273" t="s">
        <v>17</v>
      </c>
      <c r="B273" s="1">
        <v>41831</v>
      </c>
      <c r="C273" t="s">
        <v>191</v>
      </c>
      <c r="D273" t="str">
        <f>CONCATENATE("0040010142","")</f>
        <v>0040010142</v>
      </c>
      <c r="E273" t="str">
        <f>CONCATENATE("0060112001071       ","")</f>
        <v>0060112001071       </v>
      </c>
      <c r="F273" t="str">
        <f>CONCATENATE("605390894","")</f>
        <v>605390894</v>
      </c>
      <c r="G273" t="s">
        <v>607</v>
      </c>
      <c r="H273" t="s">
        <v>619</v>
      </c>
      <c r="I273" t="s">
        <v>620</v>
      </c>
      <c r="J273" t="str">
        <f t="shared" si="29"/>
        <v>080601</v>
      </c>
      <c r="K273" t="s">
        <v>22</v>
      </c>
      <c r="L273" t="s">
        <v>23</v>
      </c>
      <c r="M273" t="str">
        <f t="shared" si="28"/>
        <v>1</v>
      </c>
      <c r="O273" t="str">
        <f t="shared" si="30"/>
        <v>1 </v>
      </c>
      <c r="P273">
        <v>47.5</v>
      </c>
      <c r="Q273" t="s">
        <v>24</v>
      </c>
    </row>
    <row r="274" spans="1:17" ht="15">
      <c r="A274" t="s">
        <v>17</v>
      </c>
      <c r="B274" s="1">
        <v>41831</v>
      </c>
      <c r="C274" t="s">
        <v>191</v>
      </c>
      <c r="D274" t="str">
        <f>CONCATENATE("0040009909","")</f>
        <v>0040009909</v>
      </c>
      <c r="E274" t="str">
        <f>CONCATENATE("0060112001079       ","")</f>
        <v>0060112001079       </v>
      </c>
      <c r="F274" t="str">
        <f>CONCATENATE("7296974","")</f>
        <v>7296974</v>
      </c>
      <c r="G274" t="s">
        <v>607</v>
      </c>
      <c r="H274" t="s">
        <v>621</v>
      </c>
      <c r="I274" t="s">
        <v>622</v>
      </c>
      <c r="J274" t="str">
        <f t="shared" si="29"/>
        <v>080601</v>
      </c>
      <c r="K274" t="s">
        <v>22</v>
      </c>
      <c r="L274" t="s">
        <v>23</v>
      </c>
      <c r="M274" t="str">
        <f t="shared" si="28"/>
        <v>1</v>
      </c>
      <c r="O274" t="str">
        <f t="shared" si="30"/>
        <v>1 </v>
      </c>
      <c r="P274">
        <v>44</v>
      </c>
      <c r="Q274" t="s">
        <v>24</v>
      </c>
    </row>
    <row r="275" spans="1:17" ht="15">
      <c r="A275" t="s">
        <v>17</v>
      </c>
      <c r="B275" s="1">
        <v>41831</v>
      </c>
      <c r="C275" t="s">
        <v>191</v>
      </c>
      <c r="D275" t="str">
        <f>CONCATENATE("0040003092","")</f>
        <v>0040003092</v>
      </c>
      <c r="E275" t="str">
        <f>CONCATENATE("0060112001270       ","")</f>
        <v>0060112001270       </v>
      </c>
      <c r="F275" t="str">
        <f>CONCATENATE("5079114","")</f>
        <v>5079114</v>
      </c>
      <c r="G275" t="s">
        <v>607</v>
      </c>
      <c r="H275" t="s">
        <v>623</v>
      </c>
      <c r="I275" t="s">
        <v>624</v>
      </c>
      <c r="J275" t="str">
        <f t="shared" si="29"/>
        <v>080601</v>
      </c>
      <c r="K275" t="s">
        <v>22</v>
      </c>
      <c r="L275" t="s">
        <v>23</v>
      </c>
      <c r="M275" t="str">
        <f t="shared" si="28"/>
        <v>1</v>
      </c>
      <c r="O275" t="str">
        <f t="shared" si="30"/>
        <v>1 </v>
      </c>
      <c r="P275">
        <v>22.05</v>
      </c>
      <c r="Q275" t="s">
        <v>24</v>
      </c>
    </row>
    <row r="276" spans="1:17" ht="15">
      <c r="A276" t="s">
        <v>17</v>
      </c>
      <c r="B276" s="1">
        <v>41831</v>
      </c>
      <c r="C276" t="s">
        <v>191</v>
      </c>
      <c r="D276" t="str">
        <f>CONCATENATE("0040011459","")</f>
        <v>0040011459</v>
      </c>
      <c r="E276" t="str">
        <f>CONCATENATE("0060112001412       ","")</f>
        <v>0060112001412       </v>
      </c>
      <c r="F276" t="str">
        <f>CONCATENATE("00319381","")</f>
        <v>00319381</v>
      </c>
      <c r="G276" t="s">
        <v>607</v>
      </c>
      <c r="H276" t="s">
        <v>625</v>
      </c>
      <c r="I276" t="s">
        <v>626</v>
      </c>
      <c r="J276" t="str">
        <f t="shared" si="29"/>
        <v>080601</v>
      </c>
      <c r="K276" t="s">
        <v>22</v>
      </c>
      <c r="L276" t="s">
        <v>23</v>
      </c>
      <c r="M276" t="str">
        <f>CONCATENATE("3","")</f>
        <v>3</v>
      </c>
      <c r="O276" t="str">
        <f t="shared" si="30"/>
        <v>1 </v>
      </c>
      <c r="P276">
        <v>88.8</v>
      </c>
      <c r="Q276" t="s">
        <v>326</v>
      </c>
    </row>
    <row r="277" spans="1:17" ht="15">
      <c r="A277" t="s">
        <v>17</v>
      </c>
      <c r="B277" s="1">
        <v>41831</v>
      </c>
      <c r="C277" t="s">
        <v>191</v>
      </c>
      <c r="D277" t="str">
        <f>CONCATENATE("0040003111","")</f>
        <v>0040003111</v>
      </c>
      <c r="E277" t="str">
        <f>CONCATENATE("0060112001470       ","")</f>
        <v>0060112001470       </v>
      </c>
      <c r="F277" t="str">
        <f>CONCATENATE("00000000308","")</f>
        <v>00000000308</v>
      </c>
      <c r="G277" t="s">
        <v>607</v>
      </c>
      <c r="H277" t="s">
        <v>627</v>
      </c>
      <c r="I277" t="s">
        <v>628</v>
      </c>
      <c r="J277" t="str">
        <f t="shared" si="29"/>
        <v>080601</v>
      </c>
      <c r="K277" t="s">
        <v>22</v>
      </c>
      <c r="L277" t="s">
        <v>23</v>
      </c>
      <c r="M277" t="str">
        <f>CONCATENATE("1","")</f>
        <v>1</v>
      </c>
      <c r="O277" t="str">
        <f t="shared" si="30"/>
        <v>1 </v>
      </c>
      <c r="P277">
        <v>58.7</v>
      </c>
      <c r="Q277" t="s">
        <v>24</v>
      </c>
    </row>
    <row r="278" spans="1:17" ht="15">
      <c r="A278" t="s">
        <v>17</v>
      </c>
      <c r="B278" s="1">
        <v>41831</v>
      </c>
      <c r="C278" t="s">
        <v>191</v>
      </c>
      <c r="D278" t="str">
        <f>CONCATENATE("0040018548","")</f>
        <v>0040018548</v>
      </c>
      <c r="E278" t="str">
        <f>CONCATENATE("0060112001642       ","")</f>
        <v>0060112001642       </v>
      </c>
      <c r="F278" t="str">
        <f>CONCATENATE("605280784","")</f>
        <v>605280784</v>
      </c>
      <c r="G278" t="s">
        <v>610</v>
      </c>
      <c r="H278" t="s">
        <v>629</v>
      </c>
      <c r="I278" t="s">
        <v>630</v>
      </c>
      <c r="J278" t="str">
        <f t="shared" si="29"/>
        <v>080601</v>
      </c>
      <c r="K278" t="s">
        <v>22</v>
      </c>
      <c r="L278" t="s">
        <v>23</v>
      </c>
      <c r="M278" t="str">
        <f>CONCATENATE("1","")</f>
        <v>1</v>
      </c>
      <c r="O278" t="str">
        <f t="shared" si="30"/>
        <v>1 </v>
      </c>
      <c r="P278">
        <v>141.05</v>
      </c>
      <c r="Q278" t="s">
        <v>24</v>
      </c>
    </row>
    <row r="279" spans="1:17" ht="15">
      <c r="A279" t="s">
        <v>17</v>
      </c>
      <c r="B279" s="1">
        <v>41831</v>
      </c>
      <c r="C279" t="s">
        <v>191</v>
      </c>
      <c r="D279" t="str">
        <f>CONCATENATE("0040014179","")</f>
        <v>0040014179</v>
      </c>
      <c r="E279" t="str">
        <f>CONCATENATE("0060112001782       ","")</f>
        <v>0060112001782       </v>
      </c>
      <c r="F279" t="str">
        <f>CONCATENATE("01182289","")</f>
        <v>01182289</v>
      </c>
      <c r="G279" t="s">
        <v>631</v>
      </c>
      <c r="H279" t="s">
        <v>632</v>
      </c>
      <c r="I279" t="s">
        <v>633</v>
      </c>
      <c r="J279" t="str">
        <f t="shared" si="29"/>
        <v>080601</v>
      </c>
      <c r="K279" t="s">
        <v>22</v>
      </c>
      <c r="L279" t="s">
        <v>23</v>
      </c>
      <c r="M279" t="str">
        <f>CONCATENATE("1","")</f>
        <v>1</v>
      </c>
      <c r="O279" t="str">
        <f t="shared" si="30"/>
        <v>1 </v>
      </c>
      <c r="P279">
        <v>70.4</v>
      </c>
      <c r="Q279" t="s">
        <v>24</v>
      </c>
    </row>
    <row r="280" spans="1:17" ht="15">
      <c r="A280" t="s">
        <v>17</v>
      </c>
      <c r="B280" s="1">
        <v>41831</v>
      </c>
      <c r="C280" t="s">
        <v>191</v>
      </c>
      <c r="D280" t="str">
        <f>CONCATENATE("0040012511","")</f>
        <v>0040012511</v>
      </c>
      <c r="E280" t="str">
        <f>CONCATENATE("0060112001858       ","")</f>
        <v>0060112001858       </v>
      </c>
      <c r="F280" t="str">
        <f>CONCATENATE("605566215","")</f>
        <v>605566215</v>
      </c>
      <c r="G280" t="s">
        <v>610</v>
      </c>
      <c r="H280" t="s">
        <v>634</v>
      </c>
      <c r="I280" t="s">
        <v>635</v>
      </c>
      <c r="J280" t="str">
        <f t="shared" si="29"/>
        <v>080601</v>
      </c>
      <c r="K280" t="s">
        <v>22</v>
      </c>
      <c r="L280" t="s">
        <v>23</v>
      </c>
      <c r="M280" t="str">
        <f>CONCATENATE("1","")</f>
        <v>1</v>
      </c>
      <c r="O280" t="str">
        <f t="shared" si="30"/>
        <v>1 </v>
      </c>
      <c r="P280">
        <v>70.55</v>
      </c>
      <c r="Q280" t="s">
        <v>24</v>
      </c>
    </row>
    <row r="281" spans="1:17" ht="15">
      <c r="A281" t="s">
        <v>17</v>
      </c>
      <c r="B281" s="1">
        <v>41831</v>
      </c>
      <c r="C281" t="s">
        <v>191</v>
      </c>
      <c r="D281" t="str">
        <f>CONCATENATE("0040016775","")</f>
        <v>0040016775</v>
      </c>
      <c r="E281" t="str">
        <f>CONCATENATE("0060112002413       ","")</f>
        <v>0060112002413       </v>
      </c>
      <c r="F281" t="str">
        <f>CONCATENATE("606599157","")</f>
        <v>606599157</v>
      </c>
      <c r="G281" t="s">
        <v>610</v>
      </c>
      <c r="H281" t="s">
        <v>636</v>
      </c>
      <c r="I281" t="s">
        <v>637</v>
      </c>
      <c r="J281" t="str">
        <f t="shared" si="29"/>
        <v>080601</v>
      </c>
      <c r="K281" t="s">
        <v>22</v>
      </c>
      <c r="L281" t="s">
        <v>23</v>
      </c>
      <c r="M281" t="str">
        <f>CONCATENATE("1","")</f>
        <v>1</v>
      </c>
      <c r="O281" t="str">
        <f t="shared" si="30"/>
        <v>1 </v>
      </c>
      <c r="P281">
        <v>64.9</v>
      </c>
      <c r="Q281" t="s">
        <v>24</v>
      </c>
    </row>
    <row r="282" spans="1:17" ht="15">
      <c r="A282" t="s">
        <v>17</v>
      </c>
      <c r="B282" s="1">
        <v>41831</v>
      </c>
      <c r="C282" t="s">
        <v>191</v>
      </c>
      <c r="D282" t="str">
        <f>CONCATENATE("0040003254","")</f>
        <v>0040003254</v>
      </c>
      <c r="E282" t="str">
        <f>CONCATENATE("0060112002650       ","")</f>
        <v>0060112002650       </v>
      </c>
      <c r="F282" t="str">
        <f>CONCATENATE("507002089","")</f>
        <v>507002089</v>
      </c>
      <c r="G282" t="s">
        <v>638</v>
      </c>
      <c r="H282" t="s">
        <v>639</v>
      </c>
      <c r="I282" t="s">
        <v>640</v>
      </c>
      <c r="J282" t="str">
        <f t="shared" si="29"/>
        <v>080601</v>
      </c>
      <c r="K282" t="s">
        <v>22</v>
      </c>
      <c r="L282" t="s">
        <v>23</v>
      </c>
      <c r="M282" t="str">
        <f>CONCATENATE("3","")</f>
        <v>3</v>
      </c>
      <c r="O282" t="str">
        <f t="shared" si="30"/>
        <v>1 </v>
      </c>
      <c r="P282">
        <v>206.75</v>
      </c>
      <c r="Q282" t="s">
        <v>326</v>
      </c>
    </row>
    <row r="283" spans="1:17" ht="15">
      <c r="A283" t="s">
        <v>17</v>
      </c>
      <c r="B283" s="1">
        <v>41831</v>
      </c>
      <c r="C283" t="s">
        <v>191</v>
      </c>
      <c r="D283" t="str">
        <f>CONCATENATE("0040014326","")</f>
        <v>0040014326</v>
      </c>
      <c r="E283" t="str">
        <f>CONCATENATE("0060112002743       ","")</f>
        <v>0060112002743       </v>
      </c>
      <c r="F283" t="str">
        <f>CONCATENATE("00047220","")</f>
        <v>00047220</v>
      </c>
      <c r="G283" t="s">
        <v>638</v>
      </c>
      <c r="H283" t="s">
        <v>641</v>
      </c>
      <c r="I283" t="s">
        <v>642</v>
      </c>
      <c r="J283" t="str">
        <f t="shared" si="29"/>
        <v>080601</v>
      </c>
      <c r="K283" t="s">
        <v>22</v>
      </c>
      <c r="L283" t="s">
        <v>23</v>
      </c>
      <c r="M283" t="str">
        <f aca="true" t="shared" si="31" ref="M283:M321">CONCATENATE("1","")</f>
        <v>1</v>
      </c>
      <c r="O283" t="str">
        <f t="shared" si="30"/>
        <v>1 </v>
      </c>
      <c r="P283">
        <v>98.45</v>
      </c>
      <c r="Q283" t="s">
        <v>24</v>
      </c>
    </row>
    <row r="284" spans="1:17" ht="15">
      <c r="A284" t="s">
        <v>17</v>
      </c>
      <c r="B284" s="1">
        <v>41831</v>
      </c>
      <c r="C284" t="s">
        <v>191</v>
      </c>
      <c r="D284" t="str">
        <f>CONCATENATE("0040023054","")</f>
        <v>0040023054</v>
      </c>
      <c r="E284" t="str">
        <f>CONCATENATE("0060112003521       ","")</f>
        <v>0060112003521       </v>
      </c>
      <c r="F284" t="str">
        <f>CONCATENATE("1257889","")</f>
        <v>1257889</v>
      </c>
      <c r="G284" t="s">
        <v>604</v>
      </c>
      <c r="H284" t="s">
        <v>643</v>
      </c>
      <c r="I284" t="s">
        <v>644</v>
      </c>
      <c r="J284" t="str">
        <f t="shared" si="29"/>
        <v>080601</v>
      </c>
      <c r="K284" t="s">
        <v>22</v>
      </c>
      <c r="L284" t="s">
        <v>23</v>
      </c>
      <c r="M284" t="str">
        <f t="shared" si="31"/>
        <v>1</v>
      </c>
      <c r="O284" t="str">
        <f t="shared" si="30"/>
        <v>1 </v>
      </c>
      <c r="P284">
        <v>305.15</v>
      </c>
      <c r="Q284" t="s">
        <v>326</v>
      </c>
    </row>
    <row r="285" spans="1:17" ht="15">
      <c r="A285" t="s">
        <v>17</v>
      </c>
      <c r="B285" s="1">
        <v>41831</v>
      </c>
      <c r="C285" t="s">
        <v>191</v>
      </c>
      <c r="D285" t="str">
        <f>CONCATENATE("0040014994","")</f>
        <v>0040014994</v>
      </c>
      <c r="E285" t="str">
        <f>CONCATENATE("0060112003528       ","")</f>
        <v>0060112003528       </v>
      </c>
      <c r="F285" t="str">
        <f>CONCATENATE("10233590","")</f>
        <v>10233590</v>
      </c>
      <c r="G285" t="s">
        <v>604</v>
      </c>
      <c r="H285" t="s">
        <v>645</v>
      </c>
      <c r="I285" t="s">
        <v>646</v>
      </c>
      <c r="J285" t="str">
        <f t="shared" si="29"/>
        <v>080601</v>
      </c>
      <c r="K285" t="s">
        <v>22</v>
      </c>
      <c r="L285" t="s">
        <v>23</v>
      </c>
      <c r="M285" t="str">
        <f t="shared" si="31"/>
        <v>1</v>
      </c>
      <c r="O285" t="str">
        <f t="shared" si="30"/>
        <v>1 </v>
      </c>
      <c r="P285">
        <v>32.4</v>
      </c>
      <c r="Q285" t="s">
        <v>24</v>
      </c>
    </row>
    <row r="286" spans="1:17" ht="15">
      <c r="A286" t="s">
        <v>17</v>
      </c>
      <c r="B286" s="1">
        <v>41831</v>
      </c>
      <c r="C286" t="s">
        <v>191</v>
      </c>
      <c r="D286" t="str">
        <f>CONCATENATE("0040016467","")</f>
        <v>0040016467</v>
      </c>
      <c r="E286" t="str">
        <f>CONCATENATE("0060112003544       ","")</f>
        <v>0060112003544       </v>
      </c>
      <c r="F286" t="str">
        <f>CONCATENATE("606599140","")</f>
        <v>606599140</v>
      </c>
      <c r="G286" t="s">
        <v>604</v>
      </c>
      <c r="H286" t="s">
        <v>647</v>
      </c>
      <c r="I286" t="s">
        <v>648</v>
      </c>
      <c r="J286" t="str">
        <f t="shared" si="29"/>
        <v>080601</v>
      </c>
      <c r="K286" t="s">
        <v>22</v>
      </c>
      <c r="L286" t="s">
        <v>23</v>
      </c>
      <c r="M286" t="str">
        <f t="shared" si="31"/>
        <v>1</v>
      </c>
      <c r="O286" t="str">
        <f t="shared" si="30"/>
        <v>1 </v>
      </c>
      <c r="P286">
        <v>185.8</v>
      </c>
      <c r="Q286" t="s">
        <v>24</v>
      </c>
    </row>
    <row r="287" spans="1:17" ht="15">
      <c r="A287" t="s">
        <v>17</v>
      </c>
      <c r="B287" s="1">
        <v>41831</v>
      </c>
      <c r="C287" t="s">
        <v>191</v>
      </c>
      <c r="D287" t="str">
        <f>CONCATENATE("0040016913","")</f>
        <v>0040016913</v>
      </c>
      <c r="E287" t="str">
        <f>CONCATENATE("0060112003612       ","")</f>
        <v>0060112003612       </v>
      </c>
      <c r="F287" t="str">
        <f>CONCATENATE("606596468","")</f>
        <v>606596468</v>
      </c>
      <c r="G287" t="s">
        <v>649</v>
      </c>
      <c r="H287" t="s">
        <v>650</v>
      </c>
      <c r="I287" t="s">
        <v>651</v>
      </c>
      <c r="J287" t="str">
        <f t="shared" si="29"/>
        <v>080601</v>
      </c>
      <c r="K287" t="s">
        <v>22</v>
      </c>
      <c r="L287" t="s">
        <v>23</v>
      </c>
      <c r="M287" t="str">
        <f t="shared" si="31"/>
        <v>1</v>
      </c>
      <c r="O287" t="str">
        <f t="shared" si="30"/>
        <v>1 </v>
      </c>
      <c r="P287">
        <v>196.45</v>
      </c>
      <c r="Q287" t="s">
        <v>24</v>
      </c>
    </row>
    <row r="288" spans="1:17" ht="15">
      <c r="A288" t="s">
        <v>17</v>
      </c>
      <c r="B288" s="1">
        <v>41831</v>
      </c>
      <c r="C288" t="s">
        <v>191</v>
      </c>
      <c r="D288" t="str">
        <f>CONCATENATE("0040014208","")</f>
        <v>0040014208</v>
      </c>
      <c r="E288" t="str">
        <f>CONCATENATE("0060112003653       ","")</f>
        <v>0060112003653       </v>
      </c>
      <c r="F288" t="str">
        <f>CONCATENATE("2189642","")</f>
        <v>2189642</v>
      </c>
      <c r="G288" t="s">
        <v>652</v>
      </c>
      <c r="H288" t="s">
        <v>653</v>
      </c>
      <c r="I288" t="s">
        <v>654</v>
      </c>
      <c r="J288" t="str">
        <f t="shared" si="29"/>
        <v>080601</v>
      </c>
      <c r="K288" t="s">
        <v>22</v>
      </c>
      <c r="L288" t="s">
        <v>23</v>
      </c>
      <c r="M288" t="str">
        <f t="shared" si="31"/>
        <v>1</v>
      </c>
      <c r="O288" t="str">
        <f t="shared" si="30"/>
        <v>1 </v>
      </c>
      <c r="P288">
        <v>104.8</v>
      </c>
      <c r="Q288" t="s">
        <v>24</v>
      </c>
    </row>
    <row r="289" spans="1:17" ht="15">
      <c r="A289" t="s">
        <v>17</v>
      </c>
      <c r="B289" s="1">
        <v>41831</v>
      </c>
      <c r="C289" t="s">
        <v>191</v>
      </c>
      <c r="D289" t="str">
        <f>CONCATENATE("0040024300","")</f>
        <v>0040024300</v>
      </c>
      <c r="E289" t="str">
        <f>CONCATENATE("0060112003724       ","")</f>
        <v>0060112003724       </v>
      </c>
      <c r="F289" t="str">
        <f>CONCATENATE("1871480","")</f>
        <v>1871480</v>
      </c>
      <c r="G289" t="s">
        <v>655</v>
      </c>
      <c r="H289" t="s">
        <v>656</v>
      </c>
      <c r="I289" t="s">
        <v>657</v>
      </c>
      <c r="J289" t="str">
        <f t="shared" si="29"/>
        <v>080601</v>
      </c>
      <c r="K289" t="s">
        <v>22</v>
      </c>
      <c r="L289" t="s">
        <v>23</v>
      </c>
      <c r="M289" t="str">
        <f t="shared" si="31"/>
        <v>1</v>
      </c>
      <c r="O289" t="str">
        <f t="shared" si="30"/>
        <v>1 </v>
      </c>
      <c r="P289">
        <v>12.95</v>
      </c>
      <c r="Q289" t="s">
        <v>24</v>
      </c>
    </row>
    <row r="290" spans="1:17" ht="15">
      <c r="A290" t="s">
        <v>17</v>
      </c>
      <c r="B290" s="1">
        <v>41831</v>
      </c>
      <c r="C290" t="s">
        <v>191</v>
      </c>
      <c r="D290" t="str">
        <f>CONCATENATE("0040018711","")</f>
        <v>0040018711</v>
      </c>
      <c r="E290" t="str">
        <f>CONCATENATE("0060112003744       ","")</f>
        <v>0060112003744       </v>
      </c>
      <c r="F290" t="str">
        <f>CONCATENATE("112441","")</f>
        <v>112441</v>
      </c>
      <c r="G290" t="s">
        <v>652</v>
      </c>
      <c r="H290" t="s">
        <v>658</v>
      </c>
      <c r="I290" t="s">
        <v>659</v>
      </c>
      <c r="J290" t="str">
        <f t="shared" si="29"/>
        <v>080601</v>
      </c>
      <c r="K290" t="s">
        <v>22</v>
      </c>
      <c r="L290" t="s">
        <v>23</v>
      </c>
      <c r="M290" t="str">
        <f t="shared" si="31"/>
        <v>1</v>
      </c>
      <c r="O290" t="str">
        <f t="shared" si="30"/>
        <v>1 </v>
      </c>
      <c r="P290">
        <v>146.45</v>
      </c>
      <c r="Q290" t="s">
        <v>326</v>
      </c>
    </row>
    <row r="291" spans="1:17" ht="15">
      <c r="A291" t="s">
        <v>17</v>
      </c>
      <c r="B291" s="1">
        <v>41831</v>
      </c>
      <c r="C291" t="s">
        <v>191</v>
      </c>
      <c r="D291" t="str">
        <f>CONCATENATE("0040003336","")</f>
        <v>0040003336</v>
      </c>
      <c r="E291" t="str">
        <f>CONCATENATE("0060112003800       ","")</f>
        <v>0060112003800       </v>
      </c>
      <c r="F291" t="str">
        <f>CONCATENATE("605056643","")</f>
        <v>605056643</v>
      </c>
      <c r="G291" t="s">
        <v>638</v>
      </c>
      <c r="H291" t="s">
        <v>660</v>
      </c>
      <c r="I291" t="s">
        <v>661</v>
      </c>
      <c r="J291" t="str">
        <f t="shared" si="29"/>
        <v>080601</v>
      </c>
      <c r="K291" t="s">
        <v>22</v>
      </c>
      <c r="L291" t="s">
        <v>23</v>
      </c>
      <c r="M291" t="str">
        <f t="shared" si="31"/>
        <v>1</v>
      </c>
      <c r="O291" t="str">
        <f t="shared" si="30"/>
        <v>1 </v>
      </c>
      <c r="P291">
        <v>117.7</v>
      </c>
      <c r="Q291" t="s">
        <v>24</v>
      </c>
    </row>
    <row r="292" spans="1:17" ht="15">
      <c r="A292" t="s">
        <v>17</v>
      </c>
      <c r="B292" s="1">
        <v>41831</v>
      </c>
      <c r="C292" t="s">
        <v>191</v>
      </c>
      <c r="D292" t="str">
        <f>CONCATENATE("0040017261","")</f>
        <v>0040017261</v>
      </c>
      <c r="E292" t="str">
        <f>CONCATENATE("0060112003802       ","")</f>
        <v>0060112003802       </v>
      </c>
      <c r="F292" t="str">
        <f>CONCATENATE("1117260","")</f>
        <v>1117260</v>
      </c>
      <c r="G292" t="s">
        <v>638</v>
      </c>
      <c r="H292" t="s">
        <v>662</v>
      </c>
      <c r="I292" t="s">
        <v>663</v>
      </c>
      <c r="J292" t="str">
        <f t="shared" si="29"/>
        <v>080601</v>
      </c>
      <c r="K292" t="s">
        <v>22</v>
      </c>
      <c r="L292" t="s">
        <v>23</v>
      </c>
      <c r="M292" t="str">
        <f t="shared" si="31"/>
        <v>1</v>
      </c>
      <c r="O292" t="str">
        <f t="shared" si="30"/>
        <v>1 </v>
      </c>
      <c r="P292">
        <v>205.4</v>
      </c>
      <c r="Q292" t="s">
        <v>24</v>
      </c>
    </row>
    <row r="293" spans="1:17" ht="15">
      <c r="A293" t="s">
        <v>17</v>
      </c>
      <c r="B293" s="1">
        <v>41831</v>
      </c>
      <c r="C293" t="s">
        <v>191</v>
      </c>
      <c r="D293" t="str">
        <f>CONCATENATE("0040018723","")</f>
        <v>0040018723</v>
      </c>
      <c r="E293" t="str">
        <f>CONCATENATE("0060112003809       ","")</f>
        <v>0060112003809       </v>
      </c>
      <c r="F293" t="str">
        <f>CONCATENATE("605280590","")</f>
        <v>605280590</v>
      </c>
      <c r="G293" t="s">
        <v>638</v>
      </c>
      <c r="H293" t="s">
        <v>664</v>
      </c>
      <c r="I293" t="s">
        <v>665</v>
      </c>
      <c r="J293" t="str">
        <f t="shared" si="29"/>
        <v>080601</v>
      </c>
      <c r="K293" t="s">
        <v>22</v>
      </c>
      <c r="L293" t="s">
        <v>23</v>
      </c>
      <c r="M293" t="str">
        <f t="shared" si="31"/>
        <v>1</v>
      </c>
      <c r="O293" t="str">
        <f t="shared" si="30"/>
        <v>1 </v>
      </c>
      <c r="P293">
        <v>47.25</v>
      </c>
      <c r="Q293" t="s">
        <v>24</v>
      </c>
    </row>
    <row r="294" spans="1:17" ht="15">
      <c r="A294" t="s">
        <v>17</v>
      </c>
      <c r="B294" s="1">
        <v>41831</v>
      </c>
      <c r="C294" t="s">
        <v>191</v>
      </c>
      <c r="D294" t="str">
        <f>CONCATENATE("0040019167","")</f>
        <v>0040019167</v>
      </c>
      <c r="E294" t="str">
        <f>CONCATENATE("0060112003835       ","")</f>
        <v>0060112003835       </v>
      </c>
      <c r="F294" t="str">
        <f>CONCATENATE("605395559","")</f>
        <v>605395559</v>
      </c>
      <c r="G294" t="s">
        <v>655</v>
      </c>
      <c r="H294" t="s">
        <v>666</v>
      </c>
      <c r="I294" t="s">
        <v>667</v>
      </c>
      <c r="J294" t="str">
        <f t="shared" si="29"/>
        <v>080601</v>
      </c>
      <c r="K294" t="s">
        <v>22</v>
      </c>
      <c r="L294" t="s">
        <v>23</v>
      </c>
      <c r="M294" t="str">
        <f t="shared" si="31"/>
        <v>1</v>
      </c>
      <c r="O294" t="str">
        <f t="shared" si="30"/>
        <v>1 </v>
      </c>
      <c r="P294">
        <v>33.7</v>
      </c>
      <c r="Q294" t="s">
        <v>24</v>
      </c>
    </row>
    <row r="295" spans="1:17" ht="15">
      <c r="A295" t="s">
        <v>17</v>
      </c>
      <c r="B295" s="1">
        <v>41831</v>
      </c>
      <c r="C295" t="s">
        <v>191</v>
      </c>
      <c r="D295" t="str">
        <f>CONCATENATE("0040003343","")</f>
        <v>0040003343</v>
      </c>
      <c r="E295" t="str">
        <f>CONCATENATE("0060112003860       ","")</f>
        <v>0060112003860       </v>
      </c>
      <c r="F295" t="str">
        <f>CONCATENATE("6533","")</f>
        <v>6533</v>
      </c>
      <c r="G295" t="s">
        <v>655</v>
      </c>
      <c r="H295" t="s">
        <v>668</v>
      </c>
      <c r="I295" t="s">
        <v>661</v>
      </c>
      <c r="J295" t="str">
        <f t="shared" si="29"/>
        <v>080601</v>
      </c>
      <c r="K295" t="s">
        <v>22</v>
      </c>
      <c r="L295" t="s">
        <v>23</v>
      </c>
      <c r="M295" t="str">
        <f t="shared" si="31"/>
        <v>1</v>
      </c>
      <c r="O295" t="str">
        <f t="shared" si="30"/>
        <v>1 </v>
      </c>
      <c r="P295">
        <v>25.85</v>
      </c>
      <c r="Q295" t="s">
        <v>24</v>
      </c>
    </row>
    <row r="296" spans="1:17" ht="15">
      <c r="A296" t="s">
        <v>17</v>
      </c>
      <c r="B296" s="1">
        <v>41831</v>
      </c>
      <c r="C296" t="s">
        <v>191</v>
      </c>
      <c r="D296" t="str">
        <f>CONCATENATE("0040026760","")</f>
        <v>0040026760</v>
      </c>
      <c r="E296" t="str">
        <f>CONCATENATE("0060112003903       ","")</f>
        <v>0060112003903       </v>
      </c>
      <c r="F296" t="str">
        <f>CONCATENATE("1868180","")</f>
        <v>1868180</v>
      </c>
      <c r="G296" t="s">
        <v>652</v>
      </c>
      <c r="H296" t="s">
        <v>669</v>
      </c>
      <c r="I296" t="s">
        <v>644</v>
      </c>
      <c r="J296" t="str">
        <f t="shared" si="29"/>
        <v>080601</v>
      </c>
      <c r="K296" t="s">
        <v>22</v>
      </c>
      <c r="L296" t="s">
        <v>23</v>
      </c>
      <c r="M296" t="str">
        <f t="shared" si="31"/>
        <v>1</v>
      </c>
      <c r="O296" t="str">
        <f>CONCATENATE("7 ","")</f>
        <v>7 </v>
      </c>
      <c r="P296">
        <v>176.85</v>
      </c>
      <c r="Q296" t="s">
        <v>24</v>
      </c>
    </row>
    <row r="297" spans="1:17" ht="15">
      <c r="A297" t="s">
        <v>17</v>
      </c>
      <c r="B297" s="1">
        <v>41831</v>
      </c>
      <c r="C297" t="s">
        <v>191</v>
      </c>
      <c r="D297" t="str">
        <f>CONCATENATE("0040030541","")</f>
        <v>0040030541</v>
      </c>
      <c r="E297" t="str">
        <f>CONCATENATE("0060112003934       ","")</f>
        <v>0060112003934       </v>
      </c>
      <c r="F297" t="str">
        <f>CONCATENATE("2188101","")</f>
        <v>2188101</v>
      </c>
      <c r="G297" t="s">
        <v>670</v>
      </c>
      <c r="H297" t="s">
        <v>671</v>
      </c>
      <c r="I297" t="s">
        <v>672</v>
      </c>
      <c r="J297" t="str">
        <f t="shared" si="29"/>
        <v>080601</v>
      </c>
      <c r="K297" t="s">
        <v>22</v>
      </c>
      <c r="L297" t="s">
        <v>23</v>
      </c>
      <c r="M297" t="str">
        <f t="shared" si="31"/>
        <v>1</v>
      </c>
      <c r="O297" t="str">
        <f aca="true" t="shared" si="32" ref="O297:O328">CONCATENATE("1 ","")</f>
        <v>1 </v>
      </c>
      <c r="P297">
        <v>15.3</v>
      </c>
      <c r="Q297" t="s">
        <v>24</v>
      </c>
    </row>
    <row r="298" spans="1:17" ht="15">
      <c r="A298" t="s">
        <v>17</v>
      </c>
      <c r="B298" s="1">
        <v>41831</v>
      </c>
      <c r="C298" t="s">
        <v>191</v>
      </c>
      <c r="D298" t="str">
        <f>CONCATENATE("0040033093","")</f>
        <v>0040033093</v>
      </c>
      <c r="E298" t="str">
        <f>CONCATENATE("0060112003953       ","")</f>
        <v>0060112003953       </v>
      </c>
      <c r="F298" t="str">
        <f>CONCATENATE("2186061","")</f>
        <v>2186061</v>
      </c>
      <c r="G298" t="s">
        <v>652</v>
      </c>
      <c r="H298" t="s">
        <v>673</v>
      </c>
      <c r="I298" t="s">
        <v>674</v>
      </c>
      <c r="J298" t="str">
        <f t="shared" si="29"/>
        <v>080601</v>
      </c>
      <c r="K298" t="s">
        <v>22</v>
      </c>
      <c r="L298" t="s">
        <v>23</v>
      </c>
      <c r="M298" t="str">
        <f t="shared" si="31"/>
        <v>1</v>
      </c>
      <c r="O298" t="str">
        <f t="shared" si="32"/>
        <v>1 </v>
      </c>
      <c r="P298">
        <v>26.4</v>
      </c>
      <c r="Q298" t="s">
        <v>24</v>
      </c>
    </row>
    <row r="299" spans="1:17" ht="15">
      <c r="A299" t="s">
        <v>17</v>
      </c>
      <c r="B299" s="1">
        <v>41831</v>
      </c>
      <c r="C299" t="s">
        <v>191</v>
      </c>
      <c r="D299" t="str">
        <f>CONCATENATE("0040016217","")</f>
        <v>0040016217</v>
      </c>
      <c r="E299" t="str">
        <f>CONCATENATE("0060112004071       ","")</f>
        <v>0060112004071       </v>
      </c>
      <c r="F299" t="str">
        <f>CONCATENATE("606598764","")</f>
        <v>606598764</v>
      </c>
      <c r="G299" t="s">
        <v>652</v>
      </c>
      <c r="H299" t="s">
        <v>675</v>
      </c>
      <c r="I299" t="s">
        <v>676</v>
      </c>
      <c r="J299" t="str">
        <f t="shared" si="29"/>
        <v>080601</v>
      </c>
      <c r="K299" t="s">
        <v>22</v>
      </c>
      <c r="L299" t="s">
        <v>23</v>
      </c>
      <c r="M299" t="str">
        <f t="shared" si="31"/>
        <v>1</v>
      </c>
      <c r="O299" t="str">
        <f t="shared" si="32"/>
        <v>1 </v>
      </c>
      <c r="P299">
        <v>168.15</v>
      </c>
      <c r="Q299" t="s">
        <v>24</v>
      </c>
    </row>
    <row r="300" spans="1:17" ht="15">
      <c r="A300" t="s">
        <v>17</v>
      </c>
      <c r="B300" s="1">
        <v>41831</v>
      </c>
      <c r="C300" t="s">
        <v>191</v>
      </c>
      <c r="D300" t="str">
        <f>CONCATENATE("0040012558","")</f>
        <v>0040012558</v>
      </c>
      <c r="E300" t="str">
        <f>CONCATENATE("0060112007558       ","")</f>
        <v>0060112007558       </v>
      </c>
      <c r="F300" t="str">
        <f>CONCATENATE("605391920","")</f>
        <v>605391920</v>
      </c>
      <c r="G300" t="s">
        <v>677</v>
      </c>
      <c r="H300" t="s">
        <v>678</v>
      </c>
      <c r="I300" t="s">
        <v>679</v>
      </c>
      <c r="J300" t="str">
        <f t="shared" si="29"/>
        <v>080601</v>
      </c>
      <c r="K300" t="s">
        <v>22</v>
      </c>
      <c r="L300" t="s">
        <v>23</v>
      </c>
      <c r="M300" t="str">
        <f t="shared" si="31"/>
        <v>1</v>
      </c>
      <c r="O300" t="str">
        <f t="shared" si="32"/>
        <v>1 </v>
      </c>
      <c r="P300">
        <v>139.3</v>
      </c>
      <c r="Q300" t="s">
        <v>24</v>
      </c>
    </row>
    <row r="301" spans="1:17" ht="15">
      <c r="A301" t="s">
        <v>17</v>
      </c>
      <c r="B301" s="1">
        <v>41831</v>
      </c>
      <c r="C301" t="s">
        <v>191</v>
      </c>
      <c r="D301" t="str">
        <f>CONCATENATE("0040013852","")</f>
        <v>0040013852</v>
      </c>
      <c r="E301" t="str">
        <f>CONCATENATE("0060112007625       ","")</f>
        <v>0060112007625       </v>
      </c>
      <c r="F301" t="str">
        <f>CONCATENATE("605391944","")</f>
        <v>605391944</v>
      </c>
      <c r="G301" t="s">
        <v>677</v>
      </c>
      <c r="H301" t="s">
        <v>680</v>
      </c>
      <c r="I301" t="s">
        <v>681</v>
      </c>
      <c r="J301" t="str">
        <f t="shared" si="29"/>
        <v>080601</v>
      </c>
      <c r="K301" t="s">
        <v>22</v>
      </c>
      <c r="L301" t="s">
        <v>23</v>
      </c>
      <c r="M301" t="str">
        <f t="shared" si="31"/>
        <v>1</v>
      </c>
      <c r="O301" t="str">
        <f t="shared" si="32"/>
        <v>1 </v>
      </c>
      <c r="P301">
        <v>186.6</v>
      </c>
      <c r="Q301" t="s">
        <v>24</v>
      </c>
    </row>
    <row r="302" spans="1:17" ht="15">
      <c r="A302" t="s">
        <v>17</v>
      </c>
      <c r="B302" s="1">
        <v>41831</v>
      </c>
      <c r="C302" t="s">
        <v>191</v>
      </c>
      <c r="D302" t="str">
        <f>CONCATENATE("0040013182","")</f>
        <v>0040013182</v>
      </c>
      <c r="E302" t="str">
        <f>CONCATENATE("0060112007991       ","")</f>
        <v>0060112007991       </v>
      </c>
      <c r="F302" t="str">
        <f>CONCATENATE("605355178","")</f>
        <v>605355178</v>
      </c>
      <c r="G302" t="s">
        <v>670</v>
      </c>
      <c r="H302" t="s">
        <v>682</v>
      </c>
      <c r="I302" t="s">
        <v>683</v>
      </c>
      <c r="J302" t="str">
        <f t="shared" si="29"/>
        <v>080601</v>
      </c>
      <c r="K302" t="s">
        <v>22</v>
      </c>
      <c r="L302" t="s">
        <v>23</v>
      </c>
      <c r="M302" t="str">
        <f t="shared" si="31"/>
        <v>1</v>
      </c>
      <c r="O302" t="str">
        <f t="shared" si="32"/>
        <v>1 </v>
      </c>
      <c r="P302">
        <v>149.4</v>
      </c>
      <c r="Q302" t="s">
        <v>24</v>
      </c>
    </row>
    <row r="303" spans="1:17" ht="15">
      <c r="A303" t="s">
        <v>17</v>
      </c>
      <c r="B303" s="1">
        <v>41831</v>
      </c>
      <c r="C303" t="s">
        <v>191</v>
      </c>
      <c r="D303" t="str">
        <f>CONCATENATE("0040011767","")</f>
        <v>0040011767</v>
      </c>
      <c r="E303" t="str">
        <f>CONCATENATE("0060112008110       ","")</f>
        <v>0060112008110       </v>
      </c>
      <c r="F303" t="str">
        <f>CONCATENATE("07588775","")</f>
        <v>07588775</v>
      </c>
      <c r="G303" t="s">
        <v>670</v>
      </c>
      <c r="H303" t="s">
        <v>684</v>
      </c>
      <c r="I303" t="s">
        <v>685</v>
      </c>
      <c r="J303" t="str">
        <f t="shared" si="29"/>
        <v>080601</v>
      </c>
      <c r="K303" t="s">
        <v>22</v>
      </c>
      <c r="L303" t="s">
        <v>23</v>
      </c>
      <c r="M303" t="str">
        <f t="shared" si="31"/>
        <v>1</v>
      </c>
      <c r="O303" t="str">
        <f t="shared" si="32"/>
        <v>1 </v>
      </c>
      <c r="P303">
        <v>30.7</v>
      </c>
      <c r="Q303" t="s">
        <v>24</v>
      </c>
    </row>
    <row r="304" spans="1:17" ht="15">
      <c r="A304" t="s">
        <v>17</v>
      </c>
      <c r="B304" s="1">
        <v>41831</v>
      </c>
      <c r="C304" t="s">
        <v>191</v>
      </c>
      <c r="D304" t="str">
        <f>CONCATENATE("0040017455","")</f>
        <v>0040017455</v>
      </c>
      <c r="E304" t="str">
        <f>CONCATENATE("0060112008360       ","")</f>
        <v>0060112008360       </v>
      </c>
      <c r="F304" t="str">
        <f>CONCATENATE("3282","")</f>
        <v>3282</v>
      </c>
      <c r="G304" t="s">
        <v>670</v>
      </c>
      <c r="H304" t="s">
        <v>686</v>
      </c>
      <c r="I304" t="s">
        <v>687</v>
      </c>
      <c r="J304" t="str">
        <f t="shared" si="29"/>
        <v>080601</v>
      </c>
      <c r="K304" t="s">
        <v>22</v>
      </c>
      <c r="L304" t="s">
        <v>23</v>
      </c>
      <c r="M304" t="str">
        <f t="shared" si="31"/>
        <v>1</v>
      </c>
      <c r="O304" t="str">
        <f t="shared" si="32"/>
        <v>1 </v>
      </c>
      <c r="P304">
        <v>36.6</v>
      </c>
      <c r="Q304" t="s">
        <v>24</v>
      </c>
    </row>
    <row r="305" spans="1:17" ht="15">
      <c r="A305" t="s">
        <v>17</v>
      </c>
      <c r="B305" s="1">
        <v>41831</v>
      </c>
      <c r="C305" t="s">
        <v>191</v>
      </c>
      <c r="D305" t="str">
        <f>CONCATENATE("0040011782","")</f>
        <v>0040011782</v>
      </c>
      <c r="E305" t="str">
        <f>CONCATENATE("0060112008610       ","")</f>
        <v>0060112008610       </v>
      </c>
      <c r="F305" t="str">
        <f>CONCATENATE("2185618","")</f>
        <v>2185618</v>
      </c>
      <c r="G305" t="s">
        <v>677</v>
      </c>
      <c r="H305" t="s">
        <v>688</v>
      </c>
      <c r="I305" t="s">
        <v>689</v>
      </c>
      <c r="J305" t="str">
        <f t="shared" si="29"/>
        <v>080601</v>
      </c>
      <c r="K305" t="s">
        <v>22</v>
      </c>
      <c r="L305" t="s">
        <v>23</v>
      </c>
      <c r="M305" t="str">
        <f t="shared" si="31"/>
        <v>1</v>
      </c>
      <c r="O305" t="str">
        <f t="shared" si="32"/>
        <v>1 </v>
      </c>
      <c r="P305">
        <v>177.35</v>
      </c>
      <c r="Q305" t="s">
        <v>24</v>
      </c>
    </row>
    <row r="306" spans="1:17" ht="15">
      <c r="A306" t="s">
        <v>17</v>
      </c>
      <c r="B306" s="1">
        <v>41831</v>
      </c>
      <c r="C306" t="s">
        <v>191</v>
      </c>
      <c r="D306" t="str">
        <f>CONCATENATE("0040011879","")</f>
        <v>0040011879</v>
      </c>
      <c r="E306" t="str">
        <f>CONCATENATE("0060112008980       ","")</f>
        <v>0060112008980       </v>
      </c>
      <c r="F306" t="str">
        <f>CONCATENATE("07590229","")</f>
        <v>07590229</v>
      </c>
      <c r="G306" t="s">
        <v>670</v>
      </c>
      <c r="H306" t="s">
        <v>690</v>
      </c>
      <c r="I306" t="s">
        <v>691</v>
      </c>
      <c r="J306" t="str">
        <f t="shared" si="29"/>
        <v>080601</v>
      </c>
      <c r="K306" t="s">
        <v>22</v>
      </c>
      <c r="L306" t="s">
        <v>23</v>
      </c>
      <c r="M306" t="str">
        <f t="shared" si="31"/>
        <v>1</v>
      </c>
      <c r="O306" t="str">
        <f t="shared" si="32"/>
        <v>1 </v>
      </c>
      <c r="P306">
        <v>87.05</v>
      </c>
      <c r="Q306" t="s">
        <v>24</v>
      </c>
    </row>
    <row r="307" spans="1:17" ht="15">
      <c r="A307" t="s">
        <v>17</v>
      </c>
      <c r="B307" s="1">
        <v>41831</v>
      </c>
      <c r="C307" t="s">
        <v>191</v>
      </c>
      <c r="D307" t="str">
        <f>CONCATENATE("0040017803","")</f>
        <v>0040017803</v>
      </c>
      <c r="E307" t="str">
        <f>CONCATENATE("0060112009265       ","")</f>
        <v>0060112009265       </v>
      </c>
      <c r="F307" t="str">
        <f>CONCATENATE("0605114868","")</f>
        <v>0605114868</v>
      </c>
      <c r="G307" t="s">
        <v>677</v>
      </c>
      <c r="H307" t="s">
        <v>692</v>
      </c>
      <c r="I307" t="s">
        <v>693</v>
      </c>
      <c r="J307" t="str">
        <f t="shared" si="29"/>
        <v>080601</v>
      </c>
      <c r="K307" t="s">
        <v>22</v>
      </c>
      <c r="L307" t="s">
        <v>23</v>
      </c>
      <c r="M307" t="str">
        <f t="shared" si="31"/>
        <v>1</v>
      </c>
      <c r="O307" t="str">
        <f t="shared" si="32"/>
        <v>1 </v>
      </c>
      <c r="P307">
        <v>21.7</v>
      </c>
      <c r="Q307" t="s">
        <v>24</v>
      </c>
    </row>
    <row r="308" spans="1:17" ht="15">
      <c r="A308" t="s">
        <v>17</v>
      </c>
      <c r="B308" s="1">
        <v>41831</v>
      </c>
      <c r="C308" t="s">
        <v>191</v>
      </c>
      <c r="D308" t="str">
        <f>CONCATENATE("0040012562","")</f>
        <v>0040012562</v>
      </c>
      <c r="E308" t="str">
        <f>CONCATENATE("0060112009275       ","")</f>
        <v>0060112009275       </v>
      </c>
      <c r="F308" t="str">
        <f>CONCATENATE("606087676","")</f>
        <v>606087676</v>
      </c>
      <c r="G308" t="s">
        <v>677</v>
      </c>
      <c r="H308" t="s">
        <v>694</v>
      </c>
      <c r="I308" t="s">
        <v>695</v>
      </c>
      <c r="J308" t="str">
        <f t="shared" si="29"/>
        <v>080601</v>
      </c>
      <c r="K308" t="s">
        <v>22</v>
      </c>
      <c r="L308" t="s">
        <v>23</v>
      </c>
      <c r="M308" t="str">
        <f t="shared" si="31"/>
        <v>1</v>
      </c>
      <c r="O308" t="str">
        <f t="shared" si="32"/>
        <v>1 </v>
      </c>
      <c r="P308">
        <v>74</v>
      </c>
      <c r="Q308" t="s">
        <v>24</v>
      </c>
    </row>
    <row r="309" spans="1:17" ht="15">
      <c r="A309" t="s">
        <v>17</v>
      </c>
      <c r="B309" s="1">
        <v>41831</v>
      </c>
      <c r="C309" t="s">
        <v>191</v>
      </c>
      <c r="D309" t="str">
        <f>CONCATENATE("0040011823","")</f>
        <v>0040011823</v>
      </c>
      <c r="E309" t="str">
        <f>CONCATENATE("0060112009760       ","")</f>
        <v>0060112009760       </v>
      </c>
      <c r="F309" t="str">
        <f>CONCATENATE("07589980","")</f>
        <v>07589980</v>
      </c>
      <c r="G309" t="s">
        <v>670</v>
      </c>
      <c r="H309" t="s">
        <v>696</v>
      </c>
      <c r="I309" t="s">
        <v>697</v>
      </c>
      <c r="J309" t="str">
        <f t="shared" si="29"/>
        <v>080601</v>
      </c>
      <c r="K309" t="s">
        <v>22</v>
      </c>
      <c r="L309" t="s">
        <v>23</v>
      </c>
      <c r="M309" t="str">
        <f t="shared" si="31"/>
        <v>1</v>
      </c>
      <c r="O309" t="str">
        <f t="shared" si="32"/>
        <v>1 </v>
      </c>
      <c r="P309">
        <v>20.45</v>
      </c>
      <c r="Q309" t="s">
        <v>24</v>
      </c>
    </row>
    <row r="310" spans="1:17" ht="15">
      <c r="A310" t="s">
        <v>17</v>
      </c>
      <c r="B310" s="1">
        <v>41831</v>
      </c>
      <c r="C310" t="s">
        <v>191</v>
      </c>
      <c r="D310" t="str">
        <f>CONCATENATE("0040017976","")</f>
        <v>0040017976</v>
      </c>
      <c r="E310" t="str">
        <f>CONCATENATE("0060112009822       ","")</f>
        <v>0060112009822       </v>
      </c>
      <c r="F310" t="str">
        <f>CONCATENATE("0606664166","")</f>
        <v>0606664166</v>
      </c>
      <c r="G310" t="s">
        <v>670</v>
      </c>
      <c r="H310" t="s">
        <v>698</v>
      </c>
      <c r="I310" t="s">
        <v>699</v>
      </c>
      <c r="J310" t="str">
        <f t="shared" si="29"/>
        <v>080601</v>
      </c>
      <c r="K310" t="s">
        <v>22</v>
      </c>
      <c r="L310" t="s">
        <v>23</v>
      </c>
      <c r="M310" t="str">
        <f t="shared" si="31"/>
        <v>1</v>
      </c>
      <c r="O310" t="str">
        <f t="shared" si="32"/>
        <v>1 </v>
      </c>
      <c r="P310">
        <v>40.9</v>
      </c>
      <c r="Q310" t="s">
        <v>24</v>
      </c>
    </row>
    <row r="311" spans="1:17" ht="15">
      <c r="A311" t="s">
        <v>17</v>
      </c>
      <c r="B311" s="1">
        <v>41831</v>
      </c>
      <c r="C311" t="s">
        <v>191</v>
      </c>
      <c r="D311" t="str">
        <f>CONCATENATE("0040021197","")</f>
        <v>0040021197</v>
      </c>
      <c r="E311" t="str">
        <f>CONCATENATE("0060112009913       ","")</f>
        <v>0060112009913       </v>
      </c>
      <c r="F311" t="str">
        <f>CONCATENATE("605936090","")</f>
        <v>605936090</v>
      </c>
      <c r="G311" t="s">
        <v>677</v>
      </c>
      <c r="H311" t="s">
        <v>700</v>
      </c>
      <c r="I311" t="s">
        <v>701</v>
      </c>
      <c r="J311" t="str">
        <f t="shared" si="29"/>
        <v>080601</v>
      </c>
      <c r="K311" t="s">
        <v>22</v>
      </c>
      <c r="L311" t="s">
        <v>23</v>
      </c>
      <c r="M311" t="str">
        <f t="shared" si="31"/>
        <v>1</v>
      </c>
      <c r="O311" t="str">
        <f t="shared" si="32"/>
        <v>1 </v>
      </c>
      <c r="P311">
        <v>12.85</v>
      </c>
      <c r="Q311" t="s">
        <v>24</v>
      </c>
    </row>
    <row r="312" spans="1:17" ht="15">
      <c r="A312" t="s">
        <v>17</v>
      </c>
      <c r="B312" s="1">
        <v>41831</v>
      </c>
      <c r="C312" t="s">
        <v>191</v>
      </c>
      <c r="D312" t="str">
        <f>CONCATENATE("0040017816","")</f>
        <v>0040017816</v>
      </c>
      <c r="E312" t="str">
        <f>CONCATENATE("0060112012285       ","")</f>
        <v>0060112012285       </v>
      </c>
      <c r="F312" t="str">
        <f>CONCATENATE("605114862","")</f>
        <v>605114862</v>
      </c>
      <c r="G312" t="s">
        <v>649</v>
      </c>
      <c r="H312" t="s">
        <v>702</v>
      </c>
      <c r="I312" t="s">
        <v>703</v>
      </c>
      <c r="J312" t="str">
        <f t="shared" si="29"/>
        <v>080601</v>
      </c>
      <c r="K312" t="s">
        <v>22</v>
      </c>
      <c r="L312" t="s">
        <v>23</v>
      </c>
      <c r="M312" t="str">
        <f t="shared" si="31"/>
        <v>1</v>
      </c>
      <c r="O312" t="str">
        <f t="shared" si="32"/>
        <v>1 </v>
      </c>
      <c r="P312">
        <v>30.4</v>
      </c>
      <c r="Q312" t="s">
        <v>24</v>
      </c>
    </row>
    <row r="313" spans="1:17" ht="15">
      <c r="A313" t="s">
        <v>17</v>
      </c>
      <c r="B313" s="1">
        <v>41831</v>
      </c>
      <c r="C313" t="s">
        <v>191</v>
      </c>
      <c r="D313" t="str">
        <f>CONCATENATE("0040027610","")</f>
        <v>0040027610</v>
      </c>
      <c r="E313" t="str">
        <f>CONCATENATE("0060112012425       ","")</f>
        <v>0060112012425       </v>
      </c>
      <c r="F313" t="str">
        <f>CONCATENATE("2127175","")</f>
        <v>2127175</v>
      </c>
      <c r="G313" t="s">
        <v>649</v>
      </c>
      <c r="H313" t="s">
        <v>704</v>
      </c>
      <c r="I313" t="s">
        <v>705</v>
      </c>
      <c r="J313" t="str">
        <f t="shared" si="29"/>
        <v>080601</v>
      </c>
      <c r="K313" t="s">
        <v>22</v>
      </c>
      <c r="L313" t="s">
        <v>23</v>
      </c>
      <c r="M313" t="str">
        <f t="shared" si="31"/>
        <v>1</v>
      </c>
      <c r="O313" t="str">
        <f t="shared" si="32"/>
        <v>1 </v>
      </c>
      <c r="P313">
        <v>19.45</v>
      </c>
      <c r="Q313" t="s">
        <v>24</v>
      </c>
    </row>
    <row r="314" spans="1:17" ht="15">
      <c r="A314" t="s">
        <v>17</v>
      </c>
      <c r="B314" s="1">
        <v>41831</v>
      </c>
      <c r="C314" t="s">
        <v>191</v>
      </c>
      <c r="D314" t="str">
        <f>CONCATENATE("0040014318","")</f>
        <v>0040014318</v>
      </c>
      <c r="E314" t="str">
        <f>CONCATENATE("0060112012432       ","")</f>
        <v>0060112012432       </v>
      </c>
      <c r="F314" t="str">
        <f>CONCATENATE("605056249","")</f>
        <v>605056249</v>
      </c>
      <c r="G314" t="s">
        <v>649</v>
      </c>
      <c r="H314" t="s">
        <v>706</v>
      </c>
      <c r="I314" t="s">
        <v>707</v>
      </c>
      <c r="J314" t="str">
        <f t="shared" si="29"/>
        <v>080601</v>
      </c>
      <c r="K314" t="s">
        <v>22</v>
      </c>
      <c r="L314" t="s">
        <v>23</v>
      </c>
      <c r="M314" t="str">
        <f t="shared" si="31"/>
        <v>1</v>
      </c>
      <c r="O314" t="str">
        <f t="shared" si="32"/>
        <v>1 </v>
      </c>
      <c r="P314">
        <v>54.35</v>
      </c>
      <c r="Q314" t="s">
        <v>24</v>
      </c>
    </row>
    <row r="315" spans="1:17" ht="15">
      <c r="A315" t="s">
        <v>17</v>
      </c>
      <c r="B315" s="1">
        <v>41831</v>
      </c>
      <c r="C315" t="s">
        <v>191</v>
      </c>
      <c r="D315" t="str">
        <f>CONCATENATE("0040012113","")</f>
        <v>0040012113</v>
      </c>
      <c r="E315" t="str">
        <f>CONCATENATE("0060112012780       ","")</f>
        <v>0060112012780       </v>
      </c>
      <c r="F315" t="str">
        <f>CONCATENATE("07555190","")</f>
        <v>07555190</v>
      </c>
      <c r="G315" t="s">
        <v>649</v>
      </c>
      <c r="H315" t="s">
        <v>708</v>
      </c>
      <c r="I315" t="s">
        <v>709</v>
      </c>
      <c r="J315" t="str">
        <f t="shared" si="29"/>
        <v>080601</v>
      </c>
      <c r="K315" t="s">
        <v>22</v>
      </c>
      <c r="L315" t="s">
        <v>23</v>
      </c>
      <c r="M315" t="str">
        <f t="shared" si="31"/>
        <v>1</v>
      </c>
      <c r="O315" t="str">
        <f t="shared" si="32"/>
        <v>1 </v>
      </c>
      <c r="P315">
        <v>148.7</v>
      </c>
      <c r="Q315" t="s">
        <v>24</v>
      </c>
    </row>
    <row r="316" spans="1:17" ht="15">
      <c r="A316" t="s">
        <v>17</v>
      </c>
      <c r="B316" s="1">
        <v>41831</v>
      </c>
      <c r="C316" t="s">
        <v>191</v>
      </c>
      <c r="D316" t="str">
        <f>CONCATENATE("0040023208","")</f>
        <v>0040023208</v>
      </c>
      <c r="E316" t="str">
        <f>CONCATENATE("0060112013035       ","")</f>
        <v>0060112013035       </v>
      </c>
      <c r="F316" t="str">
        <f>CONCATENATE("1941843","")</f>
        <v>1941843</v>
      </c>
      <c r="G316" t="s">
        <v>649</v>
      </c>
      <c r="H316" t="s">
        <v>710</v>
      </c>
      <c r="I316" t="s">
        <v>711</v>
      </c>
      <c r="J316" t="str">
        <f t="shared" si="29"/>
        <v>080601</v>
      </c>
      <c r="K316" t="s">
        <v>22</v>
      </c>
      <c r="L316" t="s">
        <v>23</v>
      </c>
      <c r="M316" t="str">
        <f t="shared" si="31"/>
        <v>1</v>
      </c>
      <c r="O316" t="str">
        <f t="shared" si="32"/>
        <v>1 </v>
      </c>
      <c r="P316">
        <v>57.2</v>
      </c>
      <c r="Q316" t="s">
        <v>24</v>
      </c>
    </row>
    <row r="317" spans="1:17" ht="15">
      <c r="A317" t="s">
        <v>17</v>
      </c>
      <c r="B317" s="1">
        <v>41831</v>
      </c>
      <c r="C317" t="s">
        <v>191</v>
      </c>
      <c r="D317" t="str">
        <f>CONCATENATE("0040021847","")</f>
        <v>0040021847</v>
      </c>
      <c r="E317" t="str">
        <f>CONCATENATE("0060112014057       ","")</f>
        <v>0060112014057       </v>
      </c>
      <c r="F317" t="str">
        <f>CONCATENATE("1675458","")</f>
        <v>1675458</v>
      </c>
      <c r="G317" t="s">
        <v>649</v>
      </c>
      <c r="H317" t="s">
        <v>712</v>
      </c>
      <c r="I317" t="s">
        <v>713</v>
      </c>
      <c r="J317" t="str">
        <f t="shared" si="29"/>
        <v>080601</v>
      </c>
      <c r="K317" t="s">
        <v>22</v>
      </c>
      <c r="L317" t="s">
        <v>23</v>
      </c>
      <c r="M317" t="str">
        <f t="shared" si="31"/>
        <v>1</v>
      </c>
      <c r="O317" t="str">
        <f t="shared" si="32"/>
        <v>1 </v>
      </c>
      <c r="P317">
        <v>27.5</v>
      </c>
      <c r="Q317" t="s">
        <v>24</v>
      </c>
    </row>
    <row r="318" spans="1:17" ht="15">
      <c r="A318" t="s">
        <v>17</v>
      </c>
      <c r="B318" s="1">
        <v>41831</v>
      </c>
      <c r="C318" t="s">
        <v>191</v>
      </c>
      <c r="D318" t="str">
        <f>CONCATENATE("0040014421","")</f>
        <v>0040014421</v>
      </c>
      <c r="E318" t="str">
        <f>CONCATENATE("0060112014065       ","")</f>
        <v>0060112014065       </v>
      </c>
      <c r="F318" t="str">
        <f>CONCATENATE("02009228","")</f>
        <v>02009228</v>
      </c>
      <c r="G318" t="s">
        <v>649</v>
      </c>
      <c r="H318" t="s">
        <v>714</v>
      </c>
      <c r="I318" t="s">
        <v>715</v>
      </c>
      <c r="J318" t="str">
        <f t="shared" si="29"/>
        <v>080601</v>
      </c>
      <c r="K318" t="s">
        <v>22</v>
      </c>
      <c r="L318" t="s">
        <v>23</v>
      </c>
      <c r="M318" t="str">
        <f t="shared" si="31"/>
        <v>1</v>
      </c>
      <c r="O318" t="str">
        <f t="shared" si="32"/>
        <v>1 </v>
      </c>
      <c r="P318">
        <v>84.65</v>
      </c>
      <c r="Q318" t="s">
        <v>24</v>
      </c>
    </row>
    <row r="319" spans="1:17" ht="15">
      <c r="A319" t="s">
        <v>17</v>
      </c>
      <c r="B319" s="1">
        <v>41831</v>
      </c>
      <c r="C319" t="s">
        <v>191</v>
      </c>
      <c r="D319" t="str">
        <f>CONCATENATE("0040018918","")</f>
        <v>0040018918</v>
      </c>
      <c r="E319" t="str">
        <f>CONCATENATE("0060112014088       ","")</f>
        <v>0060112014088       </v>
      </c>
      <c r="F319" t="str">
        <f>CONCATENATE("605396304","")</f>
        <v>605396304</v>
      </c>
      <c r="G319" t="s">
        <v>649</v>
      </c>
      <c r="H319" t="s">
        <v>716</v>
      </c>
      <c r="I319" t="s">
        <v>717</v>
      </c>
      <c r="J319" t="str">
        <f t="shared" si="29"/>
        <v>080601</v>
      </c>
      <c r="K319" t="s">
        <v>22</v>
      </c>
      <c r="L319" t="s">
        <v>23</v>
      </c>
      <c r="M319" t="str">
        <f t="shared" si="31"/>
        <v>1</v>
      </c>
      <c r="O319" t="str">
        <f t="shared" si="32"/>
        <v>1 </v>
      </c>
      <c r="P319">
        <v>36.85</v>
      </c>
      <c r="Q319" t="s">
        <v>24</v>
      </c>
    </row>
    <row r="320" spans="1:17" ht="15">
      <c r="A320" t="s">
        <v>17</v>
      </c>
      <c r="B320" s="1">
        <v>41831</v>
      </c>
      <c r="C320" t="s">
        <v>191</v>
      </c>
      <c r="D320" t="str">
        <f>CONCATENATE("0040023121","")</f>
        <v>0040023121</v>
      </c>
      <c r="E320" t="str">
        <f>CONCATENATE("0060112014091       ","")</f>
        <v>0060112014091       </v>
      </c>
      <c r="F320" t="str">
        <f>CONCATENATE("1868695","")</f>
        <v>1868695</v>
      </c>
      <c r="G320" t="s">
        <v>649</v>
      </c>
      <c r="H320" t="s">
        <v>718</v>
      </c>
      <c r="I320" t="s">
        <v>719</v>
      </c>
      <c r="J320" t="str">
        <f t="shared" si="29"/>
        <v>080601</v>
      </c>
      <c r="K320" t="s">
        <v>22</v>
      </c>
      <c r="L320" t="s">
        <v>23</v>
      </c>
      <c r="M320" t="str">
        <f t="shared" si="31"/>
        <v>1</v>
      </c>
      <c r="O320" t="str">
        <f t="shared" si="32"/>
        <v>1 </v>
      </c>
      <c r="P320">
        <v>30.85</v>
      </c>
      <c r="Q320" t="s">
        <v>24</v>
      </c>
    </row>
    <row r="321" spans="1:17" ht="15">
      <c r="A321" t="s">
        <v>17</v>
      </c>
      <c r="B321" s="1">
        <v>41831</v>
      </c>
      <c r="C321" t="s">
        <v>191</v>
      </c>
      <c r="D321" t="str">
        <f>CONCATENATE("0040019153","")</f>
        <v>0040019153</v>
      </c>
      <c r="E321" t="str">
        <f>CONCATENATE("0060112015005       ","")</f>
        <v>0060112015005       </v>
      </c>
      <c r="F321" t="str">
        <f>CONCATENATE("60594063","")</f>
        <v>60594063</v>
      </c>
      <c r="G321" t="s">
        <v>607</v>
      </c>
      <c r="H321" t="s">
        <v>720</v>
      </c>
      <c r="I321" t="s">
        <v>721</v>
      </c>
      <c r="J321" t="str">
        <f t="shared" si="29"/>
        <v>080601</v>
      </c>
      <c r="K321" t="s">
        <v>22</v>
      </c>
      <c r="L321" t="s">
        <v>23</v>
      </c>
      <c r="M321" t="str">
        <f t="shared" si="31"/>
        <v>1</v>
      </c>
      <c r="O321" t="str">
        <f t="shared" si="32"/>
        <v>1 </v>
      </c>
      <c r="P321">
        <v>39.9</v>
      </c>
      <c r="Q321" t="s">
        <v>24</v>
      </c>
    </row>
    <row r="322" spans="1:17" ht="15">
      <c r="A322" t="s">
        <v>17</v>
      </c>
      <c r="B322" s="1">
        <v>41831</v>
      </c>
      <c r="C322" t="s">
        <v>191</v>
      </c>
      <c r="D322" t="str">
        <f>CONCATENATE("0040013085","")</f>
        <v>0040013085</v>
      </c>
      <c r="E322" t="str">
        <f>CONCATENATE("0060112016180       ","")</f>
        <v>0060112016180       </v>
      </c>
      <c r="F322" t="str">
        <f>CONCATENATE("112999","")</f>
        <v>112999</v>
      </c>
      <c r="G322" t="s">
        <v>649</v>
      </c>
      <c r="H322" t="s">
        <v>722</v>
      </c>
      <c r="I322" t="s">
        <v>723</v>
      </c>
      <c r="J322" t="str">
        <f t="shared" si="29"/>
        <v>080601</v>
      </c>
      <c r="K322" t="s">
        <v>22</v>
      </c>
      <c r="L322" t="s">
        <v>23</v>
      </c>
      <c r="M322" t="str">
        <f>CONCATENATE("3","")</f>
        <v>3</v>
      </c>
      <c r="O322" t="str">
        <f t="shared" si="32"/>
        <v>1 </v>
      </c>
      <c r="P322">
        <v>593.4</v>
      </c>
      <c r="Q322" t="s">
        <v>326</v>
      </c>
    </row>
    <row r="323" spans="1:17" ht="15">
      <c r="A323" t="s">
        <v>17</v>
      </c>
      <c r="B323" s="1">
        <v>41831</v>
      </c>
      <c r="C323" t="s">
        <v>191</v>
      </c>
      <c r="D323" t="str">
        <f>CONCATENATE("0040013081","")</f>
        <v>0040013081</v>
      </c>
      <c r="E323" t="str">
        <f>CONCATENATE("0060112016240       ","")</f>
        <v>0060112016240       </v>
      </c>
      <c r="F323" t="str">
        <f>CONCATENATE("2189641","")</f>
        <v>2189641</v>
      </c>
      <c r="G323" t="s">
        <v>649</v>
      </c>
      <c r="H323" t="s">
        <v>724</v>
      </c>
      <c r="I323" t="s">
        <v>725</v>
      </c>
      <c r="J323" t="str">
        <f t="shared" si="29"/>
        <v>080601</v>
      </c>
      <c r="K323" t="s">
        <v>22</v>
      </c>
      <c r="L323" t="s">
        <v>23</v>
      </c>
      <c r="M323" t="str">
        <f aca="true" t="shared" si="33" ref="M323:M332">CONCATENATE("1","")</f>
        <v>1</v>
      </c>
      <c r="O323" t="str">
        <f t="shared" si="32"/>
        <v>1 </v>
      </c>
      <c r="P323">
        <v>97.25</v>
      </c>
      <c r="Q323" t="s">
        <v>24</v>
      </c>
    </row>
    <row r="324" spans="1:17" ht="15">
      <c r="A324" t="s">
        <v>17</v>
      </c>
      <c r="B324" s="1">
        <v>41831</v>
      </c>
      <c r="C324" t="s">
        <v>191</v>
      </c>
      <c r="D324" t="str">
        <f>CONCATENATE("0040015683","")</f>
        <v>0040015683</v>
      </c>
      <c r="E324" t="str">
        <f>CONCATENATE("0060112020320       ","")</f>
        <v>0060112020320       </v>
      </c>
      <c r="F324" t="str">
        <f>CONCATENATE("00010634573","")</f>
        <v>00010634573</v>
      </c>
      <c r="G324" t="s">
        <v>655</v>
      </c>
      <c r="H324" t="s">
        <v>726</v>
      </c>
      <c r="I324" t="s">
        <v>727</v>
      </c>
      <c r="J324" t="str">
        <f aca="true" t="shared" si="34" ref="J324:J384">CONCATENATE("080601","")</f>
        <v>080601</v>
      </c>
      <c r="K324" t="s">
        <v>22</v>
      </c>
      <c r="L324" t="s">
        <v>23</v>
      </c>
      <c r="M324" t="str">
        <f t="shared" si="33"/>
        <v>1</v>
      </c>
      <c r="O324" t="str">
        <f t="shared" si="32"/>
        <v>1 </v>
      </c>
      <c r="P324">
        <v>85.85</v>
      </c>
      <c r="Q324" t="s">
        <v>24</v>
      </c>
    </row>
    <row r="325" spans="1:17" ht="15">
      <c r="A325" t="s">
        <v>17</v>
      </c>
      <c r="B325" s="1">
        <v>41831</v>
      </c>
      <c r="C325" t="s">
        <v>191</v>
      </c>
      <c r="D325" t="str">
        <f>CONCATENATE("0040013239","")</f>
        <v>0040013239</v>
      </c>
      <c r="E325" t="str">
        <f>CONCATENATE("0060112020800       ","")</f>
        <v>0060112020800       </v>
      </c>
      <c r="F325" t="str">
        <f>CONCATENATE("01017591","")</f>
        <v>01017591</v>
      </c>
      <c r="G325" t="s">
        <v>655</v>
      </c>
      <c r="H325" t="s">
        <v>728</v>
      </c>
      <c r="I325" t="s">
        <v>729</v>
      </c>
      <c r="J325" t="str">
        <f t="shared" si="34"/>
        <v>080601</v>
      </c>
      <c r="K325" t="s">
        <v>22</v>
      </c>
      <c r="L325" t="s">
        <v>23</v>
      </c>
      <c r="M325" t="str">
        <f t="shared" si="33"/>
        <v>1</v>
      </c>
      <c r="O325" t="str">
        <f t="shared" si="32"/>
        <v>1 </v>
      </c>
      <c r="P325">
        <v>24.25</v>
      </c>
      <c r="Q325" t="s">
        <v>24</v>
      </c>
    </row>
    <row r="326" spans="1:17" ht="15">
      <c r="A326" t="s">
        <v>17</v>
      </c>
      <c r="B326" s="1">
        <v>41831</v>
      </c>
      <c r="C326" t="s">
        <v>191</v>
      </c>
      <c r="D326" t="str">
        <f>CONCATENATE("0040012938","")</f>
        <v>0040012938</v>
      </c>
      <c r="E326" t="str">
        <f>CONCATENATE("0060113000067       ","")</f>
        <v>0060113000067       </v>
      </c>
      <c r="F326" t="str">
        <f>CONCATENATE("00519668","")</f>
        <v>00519668</v>
      </c>
      <c r="G326" t="s">
        <v>730</v>
      </c>
      <c r="H326" t="s">
        <v>731</v>
      </c>
      <c r="I326" t="s">
        <v>732</v>
      </c>
      <c r="J326" t="str">
        <f t="shared" si="34"/>
        <v>080601</v>
      </c>
      <c r="K326" t="s">
        <v>22</v>
      </c>
      <c r="L326" t="s">
        <v>23</v>
      </c>
      <c r="M326" t="str">
        <f t="shared" si="33"/>
        <v>1</v>
      </c>
      <c r="O326" t="str">
        <f t="shared" si="32"/>
        <v>1 </v>
      </c>
      <c r="P326">
        <v>247.5</v>
      </c>
      <c r="Q326" t="s">
        <v>24</v>
      </c>
    </row>
    <row r="327" spans="1:17" ht="15">
      <c r="A327" t="s">
        <v>17</v>
      </c>
      <c r="B327" s="1">
        <v>41831</v>
      </c>
      <c r="C327" t="s">
        <v>191</v>
      </c>
      <c r="D327" t="str">
        <f>CONCATENATE("0040003402","")</f>
        <v>0040003402</v>
      </c>
      <c r="E327" t="str">
        <f>CONCATENATE("0060113000100       ","")</f>
        <v>0060113000100       </v>
      </c>
      <c r="F327" t="str">
        <f>CONCATENATE("605627102","")</f>
        <v>605627102</v>
      </c>
      <c r="G327" t="s">
        <v>730</v>
      </c>
      <c r="H327" t="s">
        <v>733</v>
      </c>
      <c r="I327" t="s">
        <v>734</v>
      </c>
      <c r="J327" t="str">
        <f t="shared" si="34"/>
        <v>080601</v>
      </c>
      <c r="K327" t="s">
        <v>22</v>
      </c>
      <c r="L327" t="s">
        <v>23</v>
      </c>
      <c r="M327" t="str">
        <f t="shared" si="33"/>
        <v>1</v>
      </c>
      <c r="O327" t="str">
        <f t="shared" si="32"/>
        <v>1 </v>
      </c>
      <c r="P327">
        <v>432</v>
      </c>
      <c r="Q327" t="s">
        <v>24</v>
      </c>
    </row>
    <row r="328" spans="1:17" ht="15">
      <c r="A328" t="s">
        <v>17</v>
      </c>
      <c r="B328" s="1">
        <v>41831</v>
      </c>
      <c r="C328" t="s">
        <v>191</v>
      </c>
      <c r="D328" t="str">
        <f>CONCATENATE("0040018627","")</f>
        <v>0040018627</v>
      </c>
      <c r="E328" t="str">
        <f>CONCATENATE("0060113000315       ","")</f>
        <v>0060113000315       </v>
      </c>
      <c r="F328" t="str">
        <f>CONCATENATE("605289982","")</f>
        <v>605289982</v>
      </c>
      <c r="G328" t="s">
        <v>735</v>
      </c>
      <c r="H328" t="s">
        <v>736</v>
      </c>
      <c r="I328" t="s">
        <v>737</v>
      </c>
      <c r="J328" t="str">
        <f t="shared" si="34"/>
        <v>080601</v>
      </c>
      <c r="K328" t="s">
        <v>22</v>
      </c>
      <c r="L328" t="s">
        <v>23</v>
      </c>
      <c r="M328" t="str">
        <f t="shared" si="33"/>
        <v>1</v>
      </c>
      <c r="O328" t="str">
        <f t="shared" si="32"/>
        <v>1 </v>
      </c>
      <c r="P328">
        <v>31.5</v>
      </c>
      <c r="Q328" t="s">
        <v>24</v>
      </c>
    </row>
    <row r="329" spans="1:17" ht="15">
      <c r="A329" t="s">
        <v>17</v>
      </c>
      <c r="B329" s="1">
        <v>41831</v>
      </c>
      <c r="C329" t="s">
        <v>191</v>
      </c>
      <c r="D329" t="str">
        <f>CONCATENATE("0040003445","")</f>
        <v>0040003445</v>
      </c>
      <c r="E329" t="str">
        <f>CONCATENATE("0060113000430       ","")</f>
        <v>0060113000430       </v>
      </c>
      <c r="F329" t="str">
        <f>CONCATENATE("606597572","")</f>
        <v>606597572</v>
      </c>
      <c r="G329" t="s">
        <v>735</v>
      </c>
      <c r="H329" t="s">
        <v>738</v>
      </c>
      <c r="I329" t="s">
        <v>739</v>
      </c>
      <c r="J329" t="str">
        <f t="shared" si="34"/>
        <v>080601</v>
      </c>
      <c r="K329" t="s">
        <v>22</v>
      </c>
      <c r="L329" t="s">
        <v>23</v>
      </c>
      <c r="M329" t="str">
        <f t="shared" si="33"/>
        <v>1</v>
      </c>
      <c r="O329" t="str">
        <f aca="true" t="shared" si="35" ref="O329:O360">CONCATENATE("1 ","")</f>
        <v>1 </v>
      </c>
      <c r="P329">
        <v>274</v>
      </c>
      <c r="Q329" t="s">
        <v>24</v>
      </c>
    </row>
    <row r="330" spans="1:17" ht="15">
      <c r="A330" t="s">
        <v>17</v>
      </c>
      <c r="B330" s="1">
        <v>41831</v>
      </c>
      <c r="C330" t="s">
        <v>191</v>
      </c>
      <c r="D330" t="str">
        <f>CONCATENATE("0040003453","")</f>
        <v>0040003453</v>
      </c>
      <c r="E330" t="str">
        <f>CONCATENATE("0060113000510       ","")</f>
        <v>0060113000510       </v>
      </c>
      <c r="F330" t="str">
        <f>CONCATENATE("0606669073","")</f>
        <v>0606669073</v>
      </c>
      <c r="G330" t="s">
        <v>607</v>
      </c>
      <c r="H330" t="s">
        <v>740</v>
      </c>
      <c r="I330" t="s">
        <v>741</v>
      </c>
      <c r="J330" t="str">
        <f t="shared" si="34"/>
        <v>080601</v>
      </c>
      <c r="K330" t="s">
        <v>22</v>
      </c>
      <c r="L330" t="s">
        <v>23</v>
      </c>
      <c r="M330" t="str">
        <f t="shared" si="33"/>
        <v>1</v>
      </c>
      <c r="O330" t="str">
        <f t="shared" si="35"/>
        <v>1 </v>
      </c>
      <c r="P330">
        <v>220.3</v>
      </c>
      <c r="Q330" t="s">
        <v>24</v>
      </c>
    </row>
    <row r="331" spans="1:17" ht="15">
      <c r="A331" t="s">
        <v>17</v>
      </c>
      <c r="B331" s="1">
        <v>41831</v>
      </c>
      <c r="C331" t="s">
        <v>191</v>
      </c>
      <c r="D331" t="str">
        <f>CONCATENATE("0040003456","")</f>
        <v>0040003456</v>
      </c>
      <c r="E331" t="str">
        <f>CONCATENATE("0060113000540       ","")</f>
        <v>0060113000540       </v>
      </c>
      <c r="F331" t="str">
        <f>CONCATENATE("00000010306","")</f>
        <v>00000010306</v>
      </c>
      <c r="G331" t="s">
        <v>607</v>
      </c>
      <c r="H331" t="s">
        <v>742</v>
      </c>
      <c r="I331" t="s">
        <v>743</v>
      </c>
      <c r="J331" t="str">
        <f t="shared" si="34"/>
        <v>080601</v>
      </c>
      <c r="K331" t="s">
        <v>22</v>
      </c>
      <c r="L331" t="s">
        <v>23</v>
      </c>
      <c r="M331" t="str">
        <f t="shared" si="33"/>
        <v>1</v>
      </c>
      <c r="O331" t="str">
        <f t="shared" si="35"/>
        <v>1 </v>
      </c>
      <c r="P331">
        <v>444.1</v>
      </c>
      <c r="Q331" t="s">
        <v>24</v>
      </c>
    </row>
    <row r="332" spans="1:17" ht="15">
      <c r="A332" t="s">
        <v>17</v>
      </c>
      <c r="B332" s="1">
        <v>41831</v>
      </c>
      <c r="C332" t="s">
        <v>191</v>
      </c>
      <c r="D332" t="str">
        <f>CONCATENATE("0040015262","")</f>
        <v>0040015262</v>
      </c>
      <c r="E332" t="str">
        <f>CONCATENATE("0060113000681       ","")</f>
        <v>0060113000681       </v>
      </c>
      <c r="F332" t="str">
        <f>CONCATENATE("00000010429","")</f>
        <v>00000010429</v>
      </c>
      <c r="G332" t="s">
        <v>607</v>
      </c>
      <c r="H332" t="s">
        <v>744</v>
      </c>
      <c r="I332" t="s">
        <v>745</v>
      </c>
      <c r="J332" t="str">
        <f t="shared" si="34"/>
        <v>080601</v>
      </c>
      <c r="K332" t="s">
        <v>22</v>
      </c>
      <c r="L332" t="s">
        <v>23</v>
      </c>
      <c r="M332" t="str">
        <f t="shared" si="33"/>
        <v>1</v>
      </c>
      <c r="O332" t="str">
        <f t="shared" si="35"/>
        <v>1 </v>
      </c>
      <c r="P332">
        <v>108.55</v>
      </c>
      <c r="Q332" t="s">
        <v>24</v>
      </c>
    </row>
    <row r="333" spans="1:17" ht="15">
      <c r="A333" t="s">
        <v>17</v>
      </c>
      <c r="B333" s="1">
        <v>41831</v>
      </c>
      <c r="C333" t="s">
        <v>191</v>
      </c>
      <c r="D333" t="str">
        <f>CONCATENATE("0040003475","")</f>
        <v>0040003475</v>
      </c>
      <c r="E333" t="str">
        <f>CONCATENATE("0060113000740       ","")</f>
        <v>0060113000740       </v>
      </c>
      <c r="F333" t="str">
        <f>CONCATENATE("507004623","")</f>
        <v>507004623</v>
      </c>
      <c r="G333" t="s">
        <v>607</v>
      </c>
      <c r="H333" t="s">
        <v>746</v>
      </c>
      <c r="I333" t="s">
        <v>747</v>
      </c>
      <c r="J333" t="str">
        <f t="shared" si="34"/>
        <v>080601</v>
      </c>
      <c r="K333" t="s">
        <v>22</v>
      </c>
      <c r="L333" t="s">
        <v>23</v>
      </c>
      <c r="M333" t="str">
        <f>CONCATENATE("3","")</f>
        <v>3</v>
      </c>
      <c r="O333" t="str">
        <f t="shared" si="35"/>
        <v>1 </v>
      </c>
      <c r="P333">
        <v>776.75</v>
      </c>
      <c r="Q333" t="s">
        <v>24</v>
      </c>
    </row>
    <row r="334" spans="1:17" ht="15">
      <c r="A334" t="s">
        <v>17</v>
      </c>
      <c r="B334" s="1">
        <v>41831</v>
      </c>
      <c r="C334" t="s">
        <v>191</v>
      </c>
      <c r="D334" t="str">
        <f>CONCATENATE("0040030831","")</f>
        <v>0040030831</v>
      </c>
      <c r="E334" t="str">
        <f>CONCATENATE("0060113000777       ","")</f>
        <v>0060113000777       </v>
      </c>
      <c r="F334" t="str">
        <f>CONCATENATE("01944382","")</f>
        <v>01944382</v>
      </c>
      <c r="G334" t="s">
        <v>652</v>
      </c>
      <c r="H334" t="s">
        <v>748</v>
      </c>
      <c r="I334" t="s">
        <v>749</v>
      </c>
      <c r="J334" t="str">
        <f t="shared" si="34"/>
        <v>080601</v>
      </c>
      <c r="K334" t="s">
        <v>22</v>
      </c>
      <c r="L334" t="s">
        <v>23</v>
      </c>
      <c r="M334" t="str">
        <f>CONCATENATE("1","")</f>
        <v>1</v>
      </c>
      <c r="O334" t="str">
        <f t="shared" si="35"/>
        <v>1 </v>
      </c>
      <c r="P334">
        <v>149.25</v>
      </c>
      <c r="Q334" t="s">
        <v>24</v>
      </c>
    </row>
    <row r="335" spans="1:17" ht="15">
      <c r="A335" t="s">
        <v>17</v>
      </c>
      <c r="B335" s="1">
        <v>41831</v>
      </c>
      <c r="C335" t="s">
        <v>191</v>
      </c>
      <c r="D335" t="str">
        <f>CONCATENATE("0040014244","")</f>
        <v>0040014244</v>
      </c>
      <c r="E335" t="str">
        <f>CONCATENATE("0060113001018       ","")</f>
        <v>0060113001018       </v>
      </c>
      <c r="F335" t="str">
        <f>CONCATENATE("606030148","")</f>
        <v>606030148</v>
      </c>
      <c r="G335" t="s">
        <v>735</v>
      </c>
      <c r="H335" t="s">
        <v>750</v>
      </c>
      <c r="I335" t="s">
        <v>751</v>
      </c>
      <c r="J335" t="str">
        <f t="shared" si="34"/>
        <v>080601</v>
      </c>
      <c r="K335" t="s">
        <v>22</v>
      </c>
      <c r="L335" t="s">
        <v>23</v>
      </c>
      <c r="M335" t="str">
        <f>CONCATENATE("1","")</f>
        <v>1</v>
      </c>
      <c r="O335" t="str">
        <f t="shared" si="35"/>
        <v>1 </v>
      </c>
      <c r="P335">
        <v>38.55</v>
      </c>
      <c r="Q335" t="s">
        <v>24</v>
      </c>
    </row>
    <row r="336" spans="1:17" ht="15">
      <c r="A336" t="s">
        <v>17</v>
      </c>
      <c r="B336" s="1">
        <v>41831</v>
      </c>
      <c r="C336" t="s">
        <v>191</v>
      </c>
      <c r="D336" t="str">
        <f>CONCATENATE("0040003505","")</f>
        <v>0040003505</v>
      </c>
      <c r="E336" t="str">
        <f>CONCATENATE("0060113001091       ","")</f>
        <v>0060113001091       </v>
      </c>
      <c r="F336" t="str">
        <f>CONCATENATE("507005083","")</f>
        <v>507005083</v>
      </c>
      <c r="G336" t="s">
        <v>607</v>
      </c>
      <c r="H336" t="s">
        <v>752</v>
      </c>
      <c r="I336" t="s">
        <v>753</v>
      </c>
      <c r="J336" t="str">
        <f t="shared" si="34"/>
        <v>080601</v>
      </c>
      <c r="K336" t="s">
        <v>22</v>
      </c>
      <c r="L336" t="s">
        <v>23</v>
      </c>
      <c r="M336" t="str">
        <f>CONCATENATE("3","")</f>
        <v>3</v>
      </c>
      <c r="O336" t="str">
        <f t="shared" si="35"/>
        <v>1 </v>
      </c>
      <c r="P336">
        <v>157.2</v>
      </c>
      <c r="Q336" t="s">
        <v>326</v>
      </c>
    </row>
    <row r="337" spans="1:17" ht="15">
      <c r="A337" t="s">
        <v>17</v>
      </c>
      <c r="B337" s="1">
        <v>41831</v>
      </c>
      <c r="C337" t="s">
        <v>191</v>
      </c>
      <c r="D337" t="str">
        <f>CONCATENATE("0040003509","")</f>
        <v>0040003509</v>
      </c>
      <c r="E337" t="str">
        <f>CONCATENATE("0060113001130       ","")</f>
        <v>0060113001130       </v>
      </c>
      <c r="F337" t="str">
        <f>CONCATENATE("605116639","")</f>
        <v>605116639</v>
      </c>
      <c r="G337" t="s">
        <v>607</v>
      </c>
      <c r="H337" t="s">
        <v>754</v>
      </c>
      <c r="I337" t="s">
        <v>755</v>
      </c>
      <c r="J337" t="str">
        <f t="shared" si="34"/>
        <v>080601</v>
      </c>
      <c r="K337" t="s">
        <v>22</v>
      </c>
      <c r="L337" t="s">
        <v>23</v>
      </c>
      <c r="M337" t="str">
        <f aca="true" t="shared" si="36" ref="M337:M344">CONCATENATE("1","")</f>
        <v>1</v>
      </c>
      <c r="O337" t="str">
        <f t="shared" si="35"/>
        <v>1 </v>
      </c>
      <c r="P337">
        <v>25.95</v>
      </c>
      <c r="Q337" t="s">
        <v>24</v>
      </c>
    </row>
    <row r="338" spans="1:17" ht="15">
      <c r="A338" t="s">
        <v>17</v>
      </c>
      <c r="B338" s="1">
        <v>41831</v>
      </c>
      <c r="C338" t="s">
        <v>191</v>
      </c>
      <c r="D338" t="str">
        <f>CONCATENATE("0040016857","")</f>
        <v>0040016857</v>
      </c>
      <c r="E338" t="str">
        <f>CONCATENATE("0060113001204       ","")</f>
        <v>0060113001204       </v>
      </c>
      <c r="F338" t="str">
        <f>CONCATENATE("0606590304","")</f>
        <v>0606590304</v>
      </c>
      <c r="G338" t="s">
        <v>735</v>
      </c>
      <c r="H338" t="s">
        <v>756</v>
      </c>
      <c r="I338" t="s">
        <v>757</v>
      </c>
      <c r="J338" t="str">
        <f t="shared" si="34"/>
        <v>080601</v>
      </c>
      <c r="K338" t="s">
        <v>22</v>
      </c>
      <c r="L338" t="s">
        <v>23</v>
      </c>
      <c r="M338" t="str">
        <f t="shared" si="36"/>
        <v>1</v>
      </c>
      <c r="O338" t="str">
        <f t="shared" si="35"/>
        <v>1 </v>
      </c>
      <c r="P338">
        <v>16.45</v>
      </c>
      <c r="Q338" t="s">
        <v>24</v>
      </c>
    </row>
    <row r="339" spans="1:17" ht="15">
      <c r="A339" t="s">
        <v>17</v>
      </c>
      <c r="B339" s="1">
        <v>41831</v>
      </c>
      <c r="C339" t="s">
        <v>191</v>
      </c>
      <c r="D339" t="str">
        <f>CONCATENATE("0040023472","")</f>
        <v>0040023472</v>
      </c>
      <c r="E339" t="str">
        <f>CONCATENATE("0060113001253       ","")</f>
        <v>0060113001253       </v>
      </c>
      <c r="F339" t="str">
        <f>CONCATENATE("2150363","")</f>
        <v>2150363</v>
      </c>
      <c r="G339" t="s">
        <v>735</v>
      </c>
      <c r="H339" t="s">
        <v>758</v>
      </c>
      <c r="I339" t="s">
        <v>759</v>
      </c>
      <c r="J339" t="str">
        <f t="shared" si="34"/>
        <v>080601</v>
      </c>
      <c r="K339" t="s">
        <v>22</v>
      </c>
      <c r="L339" t="s">
        <v>23</v>
      </c>
      <c r="M339" t="str">
        <f t="shared" si="36"/>
        <v>1</v>
      </c>
      <c r="O339" t="str">
        <f t="shared" si="35"/>
        <v>1 </v>
      </c>
      <c r="P339">
        <v>91.7</v>
      </c>
      <c r="Q339" t="s">
        <v>24</v>
      </c>
    </row>
    <row r="340" spans="1:17" ht="15">
      <c r="A340" t="s">
        <v>17</v>
      </c>
      <c r="B340" s="1">
        <v>41831</v>
      </c>
      <c r="C340" t="s">
        <v>191</v>
      </c>
      <c r="D340" t="str">
        <f>CONCATENATE("0040003531","")</f>
        <v>0040003531</v>
      </c>
      <c r="E340" t="str">
        <f>CONCATENATE("0060113001275       ","")</f>
        <v>0060113001275       </v>
      </c>
      <c r="F340" t="str">
        <f>CONCATENATE("2187739","")</f>
        <v>2187739</v>
      </c>
      <c r="G340" t="s">
        <v>735</v>
      </c>
      <c r="H340" t="s">
        <v>760</v>
      </c>
      <c r="I340" t="s">
        <v>761</v>
      </c>
      <c r="J340" t="str">
        <f t="shared" si="34"/>
        <v>080601</v>
      </c>
      <c r="K340" t="s">
        <v>22</v>
      </c>
      <c r="L340" t="s">
        <v>23</v>
      </c>
      <c r="M340" t="str">
        <f t="shared" si="36"/>
        <v>1</v>
      </c>
      <c r="O340" t="str">
        <f t="shared" si="35"/>
        <v>1 </v>
      </c>
      <c r="P340">
        <v>90.95</v>
      </c>
      <c r="Q340" t="s">
        <v>24</v>
      </c>
    </row>
    <row r="341" spans="1:17" ht="15">
      <c r="A341" t="s">
        <v>17</v>
      </c>
      <c r="B341" s="1">
        <v>41831</v>
      </c>
      <c r="C341" t="s">
        <v>191</v>
      </c>
      <c r="D341" t="str">
        <f>CONCATENATE("0040015263","")</f>
        <v>0040015263</v>
      </c>
      <c r="E341" t="str">
        <f>CONCATENATE("0060113001339       ","")</f>
        <v>0060113001339       </v>
      </c>
      <c r="F341" t="str">
        <f>CONCATENATE("2183584","")</f>
        <v>2183584</v>
      </c>
      <c r="G341" t="s">
        <v>735</v>
      </c>
      <c r="H341" t="s">
        <v>762</v>
      </c>
      <c r="I341" t="s">
        <v>763</v>
      </c>
      <c r="J341" t="str">
        <f t="shared" si="34"/>
        <v>080601</v>
      </c>
      <c r="K341" t="s">
        <v>22</v>
      </c>
      <c r="L341" t="s">
        <v>23</v>
      </c>
      <c r="M341" t="str">
        <f t="shared" si="36"/>
        <v>1</v>
      </c>
      <c r="O341" t="str">
        <f t="shared" si="35"/>
        <v>1 </v>
      </c>
      <c r="P341">
        <v>25.15</v>
      </c>
      <c r="Q341" t="s">
        <v>24</v>
      </c>
    </row>
    <row r="342" spans="1:17" ht="15">
      <c r="A342" t="s">
        <v>17</v>
      </c>
      <c r="B342" s="1">
        <v>41831</v>
      </c>
      <c r="C342" t="s">
        <v>191</v>
      </c>
      <c r="D342" t="str">
        <f>CONCATENATE("0040019077","")</f>
        <v>0040019077</v>
      </c>
      <c r="E342" t="str">
        <f>CONCATENATE("0060113001568       ","")</f>
        <v>0060113001568       </v>
      </c>
      <c r="F342" t="str">
        <f>CONCATENATE("2129450","")</f>
        <v>2129450</v>
      </c>
      <c r="G342" t="s">
        <v>764</v>
      </c>
      <c r="H342" t="s">
        <v>765</v>
      </c>
      <c r="I342" t="s">
        <v>766</v>
      </c>
      <c r="J342" t="str">
        <f t="shared" si="34"/>
        <v>080601</v>
      </c>
      <c r="K342" t="s">
        <v>22</v>
      </c>
      <c r="L342" t="s">
        <v>23</v>
      </c>
      <c r="M342" t="str">
        <f t="shared" si="36"/>
        <v>1</v>
      </c>
      <c r="O342" t="str">
        <f t="shared" si="35"/>
        <v>1 </v>
      </c>
      <c r="P342">
        <v>30.75</v>
      </c>
      <c r="Q342" t="s">
        <v>24</v>
      </c>
    </row>
    <row r="343" spans="1:17" ht="15">
      <c r="A343" t="s">
        <v>17</v>
      </c>
      <c r="B343" s="1">
        <v>41831</v>
      </c>
      <c r="C343" t="s">
        <v>191</v>
      </c>
      <c r="D343" t="str">
        <f>CONCATENATE("0040003576","")</f>
        <v>0040003576</v>
      </c>
      <c r="E343" t="str">
        <f>CONCATENATE("0060113001680       ","")</f>
        <v>0060113001680       </v>
      </c>
      <c r="F343" t="str">
        <f>CONCATENATE("0000327721","")</f>
        <v>0000327721</v>
      </c>
      <c r="G343" t="s">
        <v>767</v>
      </c>
      <c r="H343" t="s">
        <v>768</v>
      </c>
      <c r="I343" t="s">
        <v>769</v>
      </c>
      <c r="J343" t="str">
        <f t="shared" si="34"/>
        <v>080601</v>
      </c>
      <c r="K343" t="s">
        <v>22</v>
      </c>
      <c r="L343" t="s">
        <v>23</v>
      </c>
      <c r="M343" t="str">
        <f t="shared" si="36"/>
        <v>1</v>
      </c>
      <c r="O343" t="str">
        <f t="shared" si="35"/>
        <v>1 </v>
      </c>
      <c r="P343">
        <v>64.4</v>
      </c>
      <c r="Q343" t="s">
        <v>24</v>
      </c>
    </row>
    <row r="344" spans="1:17" ht="15">
      <c r="A344" t="s">
        <v>17</v>
      </c>
      <c r="B344" s="1">
        <v>41831</v>
      </c>
      <c r="C344" t="s">
        <v>191</v>
      </c>
      <c r="D344" t="str">
        <f>CONCATENATE("0040003577","")</f>
        <v>0040003577</v>
      </c>
      <c r="E344" t="str">
        <f>CONCATENATE("0060113001685       ","")</f>
        <v>0060113001685       </v>
      </c>
      <c r="F344" t="str">
        <f>CONCATENATE("605627142","")</f>
        <v>605627142</v>
      </c>
      <c r="G344" t="s">
        <v>767</v>
      </c>
      <c r="H344" t="s">
        <v>770</v>
      </c>
      <c r="I344" t="s">
        <v>771</v>
      </c>
      <c r="J344" t="str">
        <f t="shared" si="34"/>
        <v>080601</v>
      </c>
      <c r="K344" t="s">
        <v>22</v>
      </c>
      <c r="L344" t="s">
        <v>23</v>
      </c>
      <c r="M344" t="str">
        <f t="shared" si="36"/>
        <v>1</v>
      </c>
      <c r="O344" t="str">
        <f t="shared" si="35"/>
        <v>1 </v>
      </c>
      <c r="P344">
        <v>110.35</v>
      </c>
      <c r="Q344" t="s">
        <v>24</v>
      </c>
    </row>
    <row r="345" spans="1:17" ht="15">
      <c r="A345" t="s">
        <v>17</v>
      </c>
      <c r="B345" s="1">
        <v>41831</v>
      </c>
      <c r="C345" t="s">
        <v>191</v>
      </c>
      <c r="D345" t="str">
        <f>CONCATENATE("0040023070","")</f>
        <v>0040023070</v>
      </c>
      <c r="E345" t="str">
        <f>CONCATENATE("0060113001908       ","")</f>
        <v>0060113001908       </v>
      </c>
      <c r="F345" t="str">
        <f>CONCATENATE("1257886","")</f>
        <v>1257886</v>
      </c>
      <c r="G345" t="s">
        <v>767</v>
      </c>
      <c r="H345" t="s">
        <v>772</v>
      </c>
      <c r="I345" t="s">
        <v>773</v>
      </c>
      <c r="J345" t="str">
        <f t="shared" si="34"/>
        <v>080601</v>
      </c>
      <c r="K345" t="s">
        <v>22</v>
      </c>
      <c r="L345" t="s">
        <v>23</v>
      </c>
      <c r="M345" t="str">
        <f>CONCATENATE("3","")</f>
        <v>3</v>
      </c>
      <c r="O345" t="str">
        <f t="shared" si="35"/>
        <v>1 </v>
      </c>
      <c r="P345">
        <v>246.05</v>
      </c>
      <c r="Q345" t="s">
        <v>326</v>
      </c>
    </row>
    <row r="346" spans="1:17" ht="15">
      <c r="A346" t="s">
        <v>17</v>
      </c>
      <c r="B346" s="1">
        <v>41831</v>
      </c>
      <c r="C346" t="s">
        <v>191</v>
      </c>
      <c r="D346" t="str">
        <f>CONCATENATE("0040033809","")</f>
        <v>0040033809</v>
      </c>
      <c r="E346" t="str">
        <f>CONCATENATE("0060113002213       ","")</f>
        <v>0060113002213       </v>
      </c>
      <c r="F346" t="str">
        <f>CONCATENATE("0606672483","")</f>
        <v>0606672483</v>
      </c>
      <c r="G346" t="s">
        <v>767</v>
      </c>
      <c r="H346" t="s">
        <v>774</v>
      </c>
      <c r="I346" t="s">
        <v>775</v>
      </c>
      <c r="J346" t="str">
        <f t="shared" si="34"/>
        <v>080601</v>
      </c>
      <c r="K346" t="s">
        <v>22</v>
      </c>
      <c r="L346" t="s">
        <v>23</v>
      </c>
      <c r="M346" t="str">
        <f aca="true" t="shared" si="37" ref="M346:M357">CONCATENATE("1","")</f>
        <v>1</v>
      </c>
      <c r="O346" t="str">
        <f t="shared" si="35"/>
        <v>1 </v>
      </c>
      <c r="P346">
        <v>12.9</v>
      </c>
      <c r="Q346" t="s">
        <v>24</v>
      </c>
    </row>
    <row r="347" spans="1:17" ht="15">
      <c r="A347" t="s">
        <v>17</v>
      </c>
      <c r="B347" s="1">
        <v>41831</v>
      </c>
      <c r="C347" t="s">
        <v>191</v>
      </c>
      <c r="D347" t="str">
        <f>CONCATENATE("0040016632","")</f>
        <v>0040016632</v>
      </c>
      <c r="E347" t="str">
        <f>CONCATENATE("0060113002275       ","")</f>
        <v>0060113002275       </v>
      </c>
      <c r="F347" t="str">
        <f>CONCATENATE("1802375","")</f>
        <v>1802375</v>
      </c>
      <c r="G347" t="s">
        <v>767</v>
      </c>
      <c r="H347" t="s">
        <v>776</v>
      </c>
      <c r="I347" t="s">
        <v>777</v>
      </c>
      <c r="J347" t="str">
        <f t="shared" si="34"/>
        <v>080601</v>
      </c>
      <c r="K347" t="s">
        <v>22</v>
      </c>
      <c r="L347" t="s">
        <v>23</v>
      </c>
      <c r="M347" t="str">
        <f t="shared" si="37"/>
        <v>1</v>
      </c>
      <c r="O347" t="str">
        <f t="shared" si="35"/>
        <v>1 </v>
      </c>
      <c r="P347">
        <v>32.35</v>
      </c>
      <c r="Q347" t="s">
        <v>24</v>
      </c>
    </row>
    <row r="348" spans="1:17" ht="15">
      <c r="A348" t="s">
        <v>17</v>
      </c>
      <c r="B348" s="1">
        <v>41831</v>
      </c>
      <c r="C348" t="s">
        <v>191</v>
      </c>
      <c r="D348" t="str">
        <f>CONCATENATE("0040018985","")</f>
        <v>0040018985</v>
      </c>
      <c r="E348" t="str">
        <f>CONCATENATE("0060113002294       ","")</f>
        <v>0060113002294       </v>
      </c>
      <c r="F348" t="str">
        <f>CONCATENATE("605278769","")</f>
        <v>605278769</v>
      </c>
      <c r="G348" t="s">
        <v>631</v>
      </c>
      <c r="H348" t="s">
        <v>778</v>
      </c>
      <c r="I348" t="s">
        <v>779</v>
      </c>
      <c r="J348" t="str">
        <f t="shared" si="34"/>
        <v>080601</v>
      </c>
      <c r="K348" t="s">
        <v>22</v>
      </c>
      <c r="L348" t="s">
        <v>23</v>
      </c>
      <c r="M348" t="str">
        <f t="shared" si="37"/>
        <v>1</v>
      </c>
      <c r="O348" t="str">
        <f t="shared" si="35"/>
        <v>1 </v>
      </c>
      <c r="P348">
        <v>51.25</v>
      </c>
      <c r="Q348" t="s">
        <v>24</v>
      </c>
    </row>
    <row r="349" spans="1:17" ht="15">
      <c r="A349" t="s">
        <v>17</v>
      </c>
      <c r="B349" s="1">
        <v>41831</v>
      </c>
      <c r="C349" t="s">
        <v>191</v>
      </c>
      <c r="D349" t="str">
        <f>CONCATENATE("0040009665","")</f>
        <v>0040009665</v>
      </c>
      <c r="E349" t="str">
        <f>CONCATENATE("0060113002373       ","")</f>
        <v>0060113002373       </v>
      </c>
      <c r="F349" t="str">
        <f>CONCATENATE("00000001757","")</f>
        <v>00000001757</v>
      </c>
      <c r="G349" t="s">
        <v>631</v>
      </c>
      <c r="H349" t="s">
        <v>780</v>
      </c>
      <c r="I349" t="s">
        <v>781</v>
      </c>
      <c r="J349" t="str">
        <f t="shared" si="34"/>
        <v>080601</v>
      </c>
      <c r="K349" t="s">
        <v>22</v>
      </c>
      <c r="L349" t="s">
        <v>23</v>
      </c>
      <c r="M349" t="str">
        <f t="shared" si="37"/>
        <v>1</v>
      </c>
      <c r="O349" t="str">
        <f t="shared" si="35"/>
        <v>1 </v>
      </c>
      <c r="P349">
        <v>20.5</v>
      </c>
      <c r="Q349" t="s">
        <v>24</v>
      </c>
    </row>
    <row r="350" spans="1:17" ht="15">
      <c r="A350" t="s">
        <v>17</v>
      </c>
      <c r="B350" s="1">
        <v>41831</v>
      </c>
      <c r="C350" t="s">
        <v>191</v>
      </c>
      <c r="D350" t="str">
        <f>CONCATENATE("0040030770","")</f>
        <v>0040030770</v>
      </c>
      <c r="E350" t="str">
        <f>CONCATENATE("0060113002381       ","")</f>
        <v>0060113002381       </v>
      </c>
      <c r="F350" t="str">
        <f>CONCATENATE("2125495","")</f>
        <v>2125495</v>
      </c>
      <c r="G350" t="s">
        <v>631</v>
      </c>
      <c r="H350" t="s">
        <v>782</v>
      </c>
      <c r="I350" t="s">
        <v>783</v>
      </c>
      <c r="J350" t="str">
        <f t="shared" si="34"/>
        <v>080601</v>
      </c>
      <c r="K350" t="s">
        <v>22</v>
      </c>
      <c r="L350" t="s">
        <v>23</v>
      </c>
      <c r="M350" t="str">
        <f t="shared" si="37"/>
        <v>1</v>
      </c>
      <c r="O350" t="str">
        <f t="shared" si="35"/>
        <v>1 </v>
      </c>
      <c r="P350">
        <v>18.35</v>
      </c>
      <c r="Q350" t="s">
        <v>24</v>
      </c>
    </row>
    <row r="351" spans="1:17" ht="15">
      <c r="A351" t="s">
        <v>17</v>
      </c>
      <c r="B351" s="1">
        <v>41831</v>
      </c>
      <c r="C351" t="s">
        <v>191</v>
      </c>
      <c r="D351" t="str">
        <f>CONCATENATE("0040017671","")</f>
        <v>0040017671</v>
      </c>
      <c r="E351" t="str">
        <f>CONCATENATE("0060113002413       ","")</f>
        <v>0060113002413       </v>
      </c>
      <c r="F351" t="str">
        <f>CONCATENATE("605114572","")</f>
        <v>605114572</v>
      </c>
      <c r="G351" t="s">
        <v>764</v>
      </c>
      <c r="H351" t="s">
        <v>784</v>
      </c>
      <c r="I351" t="s">
        <v>785</v>
      </c>
      <c r="J351" t="str">
        <f t="shared" si="34"/>
        <v>080601</v>
      </c>
      <c r="K351" t="s">
        <v>22</v>
      </c>
      <c r="L351" t="s">
        <v>23</v>
      </c>
      <c r="M351" t="str">
        <f t="shared" si="37"/>
        <v>1</v>
      </c>
      <c r="O351" t="str">
        <f t="shared" si="35"/>
        <v>1 </v>
      </c>
      <c r="P351">
        <v>155.85</v>
      </c>
      <c r="Q351" t="s">
        <v>24</v>
      </c>
    </row>
    <row r="352" spans="1:17" ht="15">
      <c r="A352" t="s">
        <v>17</v>
      </c>
      <c r="B352" s="1">
        <v>41831</v>
      </c>
      <c r="C352" t="s">
        <v>191</v>
      </c>
      <c r="D352" t="str">
        <f>CONCATENATE("0040008134","")</f>
        <v>0040008134</v>
      </c>
      <c r="E352" t="str">
        <f>CONCATENATE("0060113005080       ","")</f>
        <v>0060113005080       </v>
      </c>
      <c r="F352" t="str">
        <f>CONCATENATE("2120631","")</f>
        <v>2120631</v>
      </c>
      <c r="G352" t="s">
        <v>767</v>
      </c>
      <c r="H352" t="s">
        <v>786</v>
      </c>
      <c r="I352" t="s">
        <v>787</v>
      </c>
      <c r="J352" t="str">
        <f t="shared" si="34"/>
        <v>080601</v>
      </c>
      <c r="K352" t="s">
        <v>22</v>
      </c>
      <c r="L352" t="s">
        <v>23</v>
      </c>
      <c r="M352" t="str">
        <f t="shared" si="37"/>
        <v>1</v>
      </c>
      <c r="O352" t="str">
        <f t="shared" si="35"/>
        <v>1 </v>
      </c>
      <c r="P352">
        <v>44.85</v>
      </c>
      <c r="Q352" t="s">
        <v>24</v>
      </c>
    </row>
    <row r="353" spans="1:17" ht="15">
      <c r="A353" t="s">
        <v>17</v>
      </c>
      <c r="B353" s="1">
        <v>41831</v>
      </c>
      <c r="C353" t="s">
        <v>191</v>
      </c>
      <c r="D353" t="str">
        <f>CONCATENATE("0040003712","")</f>
        <v>0040003712</v>
      </c>
      <c r="E353" t="str">
        <f>CONCATENATE("0060114000050       ","")</f>
        <v>0060114000050       </v>
      </c>
      <c r="F353" t="str">
        <f>CONCATENATE("605627110","")</f>
        <v>605627110</v>
      </c>
      <c r="G353" t="s">
        <v>764</v>
      </c>
      <c r="H353" t="s">
        <v>788</v>
      </c>
      <c r="I353" t="s">
        <v>789</v>
      </c>
      <c r="J353" t="str">
        <f t="shared" si="34"/>
        <v>080601</v>
      </c>
      <c r="K353" t="s">
        <v>22</v>
      </c>
      <c r="L353" t="s">
        <v>23</v>
      </c>
      <c r="M353" t="str">
        <f t="shared" si="37"/>
        <v>1</v>
      </c>
      <c r="O353" t="str">
        <f t="shared" si="35"/>
        <v>1 </v>
      </c>
      <c r="P353">
        <v>58.1</v>
      </c>
      <c r="Q353" t="s">
        <v>24</v>
      </c>
    </row>
    <row r="354" spans="1:17" ht="15">
      <c r="A354" t="s">
        <v>17</v>
      </c>
      <c r="B354" s="1">
        <v>41831</v>
      </c>
      <c r="C354" t="s">
        <v>191</v>
      </c>
      <c r="D354" t="str">
        <f>CONCATENATE("0040003719","")</f>
        <v>0040003719</v>
      </c>
      <c r="E354" t="str">
        <f>CONCATENATE("0060114000085       ","")</f>
        <v>0060114000085       </v>
      </c>
      <c r="F354" t="str">
        <f>CONCATENATE("605054263","")</f>
        <v>605054263</v>
      </c>
      <c r="G354" t="s">
        <v>764</v>
      </c>
      <c r="H354" t="s">
        <v>790</v>
      </c>
      <c r="I354" t="s">
        <v>791</v>
      </c>
      <c r="J354" t="str">
        <f t="shared" si="34"/>
        <v>080601</v>
      </c>
      <c r="K354" t="s">
        <v>22</v>
      </c>
      <c r="L354" t="s">
        <v>23</v>
      </c>
      <c r="M354" t="str">
        <f t="shared" si="37"/>
        <v>1</v>
      </c>
      <c r="O354" t="str">
        <f t="shared" si="35"/>
        <v>1 </v>
      </c>
      <c r="P354">
        <v>32.75</v>
      </c>
      <c r="Q354" t="s">
        <v>24</v>
      </c>
    </row>
    <row r="355" spans="1:17" ht="15">
      <c r="A355" t="s">
        <v>17</v>
      </c>
      <c r="B355" s="1">
        <v>41831</v>
      </c>
      <c r="C355" t="s">
        <v>191</v>
      </c>
      <c r="D355" t="str">
        <f>CONCATENATE("0040003736","")</f>
        <v>0040003736</v>
      </c>
      <c r="E355" t="str">
        <f>CONCATENATE("0060114000230       ","")</f>
        <v>0060114000230       </v>
      </c>
      <c r="F355" t="str">
        <f>CONCATENATE("606594321","")</f>
        <v>606594321</v>
      </c>
      <c r="G355" t="s">
        <v>792</v>
      </c>
      <c r="H355" t="s">
        <v>793</v>
      </c>
      <c r="I355" t="s">
        <v>794</v>
      </c>
      <c r="J355" t="str">
        <f t="shared" si="34"/>
        <v>080601</v>
      </c>
      <c r="K355" t="s">
        <v>22</v>
      </c>
      <c r="L355" t="s">
        <v>23</v>
      </c>
      <c r="M355" t="str">
        <f t="shared" si="37"/>
        <v>1</v>
      </c>
      <c r="O355" t="str">
        <f t="shared" si="35"/>
        <v>1 </v>
      </c>
      <c r="P355">
        <v>291.75</v>
      </c>
      <c r="Q355" t="s">
        <v>24</v>
      </c>
    </row>
    <row r="356" spans="1:17" ht="15">
      <c r="A356" t="s">
        <v>17</v>
      </c>
      <c r="B356" s="1">
        <v>41831</v>
      </c>
      <c r="C356" t="s">
        <v>191</v>
      </c>
      <c r="D356" t="str">
        <f>CONCATENATE("0040019220","")</f>
        <v>0040019220</v>
      </c>
      <c r="E356" t="str">
        <f>CONCATENATE("0060114000315       ","")</f>
        <v>0060114000315       </v>
      </c>
      <c r="F356" t="str">
        <f>CONCATENATE("605294581","")</f>
        <v>605294581</v>
      </c>
      <c r="G356" t="s">
        <v>764</v>
      </c>
      <c r="H356" t="s">
        <v>795</v>
      </c>
      <c r="I356" t="s">
        <v>796</v>
      </c>
      <c r="J356" t="str">
        <f t="shared" si="34"/>
        <v>080601</v>
      </c>
      <c r="K356" t="s">
        <v>22</v>
      </c>
      <c r="L356" t="s">
        <v>23</v>
      </c>
      <c r="M356" t="str">
        <f t="shared" si="37"/>
        <v>1</v>
      </c>
      <c r="O356" t="str">
        <f t="shared" si="35"/>
        <v>1 </v>
      </c>
      <c r="P356">
        <v>10.25</v>
      </c>
      <c r="Q356" t="s">
        <v>24</v>
      </c>
    </row>
    <row r="357" spans="1:17" ht="15">
      <c r="A357" t="s">
        <v>17</v>
      </c>
      <c r="B357" s="1">
        <v>41831</v>
      </c>
      <c r="C357" t="s">
        <v>191</v>
      </c>
      <c r="D357" t="str">
        <f>CONCATENATE("0040023151","")</f>
        <v>0040023151</v>
      </c>
      <c r="E357" t="str">
        <f>CONCATENATE("0060114000443       ","")</f>
        <v>0060114000443       </v>
      </c>
      <c r="F357" t="str">
        <f>CONCATENATE("1934342","")</f>
        <v>1934342</v>
      </c>
      <c r="G357" t="s">
        <v>764</v>
      </c>
      <c r="H357" t="s">
        <v>797</v>
      </c>
      <c r="I357" t="s">
        <v>798</v>
      </c>
      <c r="J357" t="str">
        <f t="shared" si="34"/>
        <v>080601</v>
      </c>
      <c r="K357" t="s">
        <v>22</v>
      </c>
      <c r="L357" t="s">
        <v>23</v>
      </c>
      <c r="M357" t="str">
        <f t="shared" si="37"/>
        <v>1</v>
      </c>
      <c r="O357" t="str">
        <f t="shared" si="35"/>
        <v>1 </v>
      </c>
      <c r="P357">
        <v>37.55</v>
      </c>
      <c r="Q357" t="s">
        <v>24</v>
      </c>
    </row>
    <row r="358" spans="1:17" ht="15">
      <c r="A358" t="s">
        <v>17</v>
      </c>
      <c r="B358" s="1">
        <v>41831</v>
      </c>
      <c r="C358" t="s">
        <v>191</v>
      </c>
      <c r="D358" t="str">
        <f>CONCATENATE("0040014322","")</f>
        <v>0040014322</v>
      </c>
      <c r="E358" t="str">
        <f>CONCATENATE("0060114000595       ","")</f>
        <v>0060114000595       </v>
      </c>
      <c r="F358" t="str">
        <f>CONCATENATE("00917221","")</f>
        <v>00917221</v>
      </c>
      <c r="G358" t="s">
        <v>764</v>
      </c>
      <c r="H358" t="s">
        <v>799</v>
      </c>
      <c r="I358" t="s">
        <v>800</v>
      </c>
      <c r="J358" t="str">
        <f t="shared" si="34"/>
        <v>080601</v>
      </c>
      <c r="K358" t="s">
        <v>22</v>
      </c>
      <c r="L358" t="s">
        <v>23</v>
      </c>
      <c r="M358" t="str">
        <f>CONCATENATE("3","")</f>
        <v>3</v>
      </c>
      <c r="O358" t="str">
        <f t="shared" si="35"/>
        <v>1 </v>
      </c>
      <c r="P358">
        <v>11.95</v>
      </c>
      <c r="Q358" t="s">
        <v>326</v>
      </c>
    </row>
    <row r="359" spans="1:17" ht="15">
      <c r="A359" t="s">
        <v>17</v>
      </c>
      <c r="B359" s="1">
        <v>41831</v>
      </c>
      <c r="C359" t="s">
        <v>191</v>
      </c>
      <c r="D359" t="str">
        <f>CONCATENATE("0040003808","")</f>
        <v>0040003808</v>
      </c>
      <c r="E359" t="str">
        <f>CONCATENATE("0060114000840       ","")</f>
        <v>0060114000840       </v>
      </c>
      <c r="F359" t="str">
        <f>CONCATENATE("606597568","")</f>
        <v>606597568</v>
      </c>
      <c r="G359" t="s">
        <v>730</v>
      </c>
      <c r="H359" t="s">
        <v>801</v>
      </c>
      <c r="I359" t="s">
        <v>802</v>
      </c>
      <c r="J359" t="str">
        <f t="shared" si="34"/>
        <v>080601</v>
      </c>
      <c r="K359" t="s">
        <v>22</v>
      </c>
      <c r="L359" t="s">
        <v>23</v>
      </c>
      <c r="M359" t="str">
        <f>CONCATENATE("1","")</f>
        <v>1</v>
      </c>
      <c r="O359" t="str">
        <f t="shared" si="35"/>
        <v>1 </v>
      </c>
      <c r="P359">
        <v>153.75</v>
      </c>
      <c r="Q359" t="s">
        <v>24</v>
      </c>
    </row>
    <row r="360" spans="1:17" ht="15">
      <c r="A360" t="s">
        <v>17</v>
      </c>
      <c r="B360" s="1">
        <v>41831</v>
      </c>
      <c r="C360" t="s">
        <v>191</v>
      </c>
      <c r="D360" t="str">
        <f>CONCATENATE("0040003858","")</f>
        <v>0040003858</v>
      </c>
      <c r="E360" t="str">
        <f>CONCATENATE("0060114001210       ","")</f>
        <v>0060114001210       </v>
      </c>
      <c r="F360" t="str">
        <f>CONCATENATE("0606590298","")</f>
        <v>0606590298</v>
      </c>
      <c r="G360" t="s">
        <v>792</v>
      </c>
      <c r="H360" t="s">
        <v>803</v>
      </c>
      <c r="I360" t="s">
        <v>804</v>
      </c>
      <c r="J360" t="str">
        <f t="shared" si="34"/>
        <v>080601</v>
      </c>
      <c r="K360" t="s">
        <v>22</v>
      </c>
      <c r="L360" t="s">
        <v>23</v>
      </c>
      <c r="M360" t="str">
        <f>CONCATENATE("1","")</f>
        <v>1</v>
      </c>
      <c r="O360" t="str">
        <f t="shared" si="35"/>
        <v>1 </v>
      </c>
      <c r="P360">
        <v>117.25</v>
      </c>
      <c r="Q360" t="s">
        <v>24</v>
      </c>
    </row>
    <row r="361" spans="1:17" ht="15">
      <c r="A361" t="s">
        <v>17</v>
      </c>
      <c r="B361" s="1">
        <v>41831</v>
      </c>
      <c r="C361" t="s">
        <v>191</v>
      </c>
      <c r="D361" t="str">
        <f>CONCATENATE("0040003878","")</f>
        <v>0040003878</v>
      </c>
      <c r="E361" t="str">
        <f>CONCATENATE("0060114001381       ","")</f>
        <v>0060114001381       </v>
      </c>
      <c r="F361" t="str">
        <f>CONCATENATE("1076377","")</f>
        <v>1076377</v>
      </c>
      <c r="G361" t="s">
        <v>730</v>
      </c>
      <c r="H361" t="s">
        <v>805</v>
      </c>
      <c r="I361" t="s">
        <v>806</v>
      </c>
      <c r="J361" t="str">
        <f t="shared" si="34"/>
        <v>080601</v>
      </c>
      <c r="K361" t="s">
        <v>22</v>
      </c>
      <c r="L361" t="s">
        <v>23</v>
      </c>
      <c r="M361" t="str">
        <f>CONCATENATE("1","")</f>
        <v>1</v>
      </c>
      <c r="O361" t="str">
        <f aca="true" t="shared" si="38" ref="O361:O390">CONCATENATE("1 ","")</f>
        <v>1 </v>
      </c>
      <c r="P361">
        <v>82.55</v>
      </c>
      <c r="Q361" t="s">
        <v>24</v>
      </c>
    </row>
    <row r="362" spans="1:17" ht="15">
      <c r="A362" t="s">
        <v>17</v>
      </c>
      <c r="B362" s="1">
        <v>41831</v>
      </c>
      <c r="C362" t="s">
        <v>191</v>
      </c>
      <c r="D362" t="str">
        <f>CONCATENATE("0040003880","")</f>
        <v>0040003880</v>
      </c>
      <c r="E362" t="str">
        <f>CONCATENATE("0060114001385       ","")</f>
        <v>0060114001385       </v>
      </c>
      <c r="F362" t="str">
        <f>CONCATENATE("0605291858","")</f>
        <v>0605291858</v>
      </c>
      <c r="G362" t="s">
        <v>730</v>
      </c>
      <c r="H362" t="s">
        <v>807</v>
      </c>
      <c r="I362" t="s">
        <v>808</v>
      </c>
      <c r="J362" t="str">
        <f t="shared" si="34"/>
        <v>080601</v>
      </c>
      <c r="K362" t="s">
        <v>22</v>
      </c>
      <c r="L362" t="s">
        <v>23</v>
      </c>
      <c r="M362" t="str">
        <f>CONCATENATE("1","")</f>
        <v>1</v>
      </c>
      <c r="O362" t="str">
        <f t="shared" si="38"/>
        <v>1 </v>
      </c>
      <c r="P362">
        <v>23.9</v>
      </c>
      <c r="Q362" t="s">
        <v>24</v>
      </c>
    </row>
    <row r="363" spans="1:17" ht="15">
      <c r="A363" t="s">
        <v>17</v>
      </c>
      <c r="B363" s="1">
        <v>41831</v>
      </c>
      <c r="C363" t="s">
        <v>191</v>
      </c>
      <c r="D363" t="str">
        <f>CONCATENATE("0040023520","")</f>
        <v>0040023520</v>
      </c>
      <c r="E363" t="str">
        <f>CONCATENATE("0060115001143       ","")</f>
        <v>0060115001143       </v>
      </c>
      <c r="F363" t="str">
        <f>CONCATENATE("2150630","")</f>
        <v>2150630</v>
      </c>
      <c r="G363" t="s">
        <v>730</v>
      </c>
      <c r="H363" t="s">
        <v>809</v>
      </c>
      <c r="I363" t="s">
        <v>810</v>
      </c>
      <c r="J363" t="str">
        <f t="shared" si="34"/>
        <v>080601</v>
      </c>
      <c r="K363" t="s">
        <v>22</v>
      </c>
      <c r="L363" t="s">
        <v>23</v>
      </c>
      <c r="M363" t="str">
        <f>CONCATENATE("1","")</f>
        <v>1</v>
      </c>
      <c r="O363" t="str">
        <f t="shared" si="38"/>
        <v>1 </v>
      </c>
      <c r="P363">
        <v>28.5</v>
      </c>
      <c r="Q363" t="s">
        <v>24</v>
      </c>
    </row>
    <row r="364" spans="1:17" ht="15">
      <c r="A364" t="s">
        <v>17</v>
      </c>
      <c r="B364" s="1">
        <v>41831</v>
      </c>
      <c r="C364" t="s">
        <v>191</v>
      </c>
      <c r="D364" t="str">
        <f>CONCATENATE("0040012322","")</f>
        <v>0040012322</v>
      </c>
      <c r="E364" t="str">
        <f>CONCATENATE("0060115001155       ","")</f>
        <v>0060115001155       </v>
      </c>
      <c r="F364" t="str">
        <f>CONCATENATE("507003307","")</f>
        <v>507003307</v>
      </c>
      <c r="G364" t="s">
        <v>730</v>
      </c>
      <c r="H364" t="s">
        <v>811</v>
      </c>
      <c r="I364" t="s">
        <v>812</v>
      </c>
      <c r="J364" t="str">
        <f t="shared" si="34"/>
        <v>080601</v>
      </c>
      <c r="K364" t="s">
        <v>22</v>
      </c>
      <c r="L364" t="s">
        <v>23</v>
      </c>
      <c r="M364" t="str">
        <f>CONCATENATE("3","")</f>
        <v>3</v>
      </c>
      <c r="O364" t="str">
        <f t="shared" si="38"/>
        <v>1 </v>
      </c>
      <c r="P364">
        <v>645.05</v>
      </c>
      <c r="Q364" t="s">
        <v>326</v>
      </c>
    </row>
    <row r="365" spans="1:17" ht="15">
      <c r="A365" t="s">
        <v>17</v>
      </c>
      <c r="B365" s="1">
        <v>41831</v>
      </c>
      <c r="C365" t="s">
        <v>191</v>
      </c>
      <c r="D365" t="str">
        <f>CONCATENATE("0040013060","")</f>
        <v>0040013060</v>
      </c>
      <c r="E365" t="str">
        <f>CONCATENATE("0060115001156       ","")</f>
        <v>0060115001156       </v>
      </c>
      <c r="F365" t="str">
        <f>CONCATENATE("507005085","")</f>
        <v>507005085</v>
      </c>
      <c r="G365" t="s">
        <v>730</v>
      </c>
      <c r="H365" t="s">
        <v>813</v>
      </c>
      <c r="I365" t="s">
        <v>814</v>
      </c>
      <c r="J365" t="str">
        <f t="shared" si="34"/>
        <v>080601</v>
      </c>
      <c r="K365" t="s">
        <v>22</v>
      </c>
      <c r="L365" t="s">
        <v>23</v>
      </c>
      <c r="M365" t="str">
        <f>CONCATENATE("3","")</f>
        <v>3</v>
      </c>
      <c r="O365" t="str">
        <f t="shared" si="38"/>
        <v>1 </v>
      </c>
      <c r="P365">
        <v>10.45</v>
      </c>
      <c r="Q365" t="s">
        <v>326</v>
      </c>
    </row>
    <row r="366" spans="1:17" ht="15">
      <c r="A366" t="s">
        <v>17</v>
      </c>
      <c r="B366" s="1">
        <v>41831</v>
      </c>
      <c r="C366" t="s">
        <v>191</v>
      </c>
      <c r="D366" t="str">
        <f>CONCATENATE("0040004010","")</f>
        <v>0040004010</v>
      </c>
      <c r="E366" t="str">
        <f>CONCATENATE("0060115001190       ","")</f>
        <v>0060115001190       </v>
      </c>
      <c r="F366" t="str">
        <f>CONCATENATE("00000001765","")</f>
        <v>00000001765</v>
      </c>
      <c r="G366" t="s">
        <v>730</v>
      </c>
      <c r="H366" t="s">
        <v>815</v>
      </c>
      <c r="I366" t="s">
        <v>816</v>
      </c>
      <c r="J366" t="str">
        <f t="shared" si="34"/>
        <v>080601</v>
      </c>
      <c r="K366" t="s">
        <v>22</v>
      </c>
      <c r="L366" t="s">
        <v>23</v>
      </c>
      <c r="M366" t="str">
        <f aca="true" t="shared" si="39" ref="M366:M385">CONCATENATE("1","")</f>
        <v>1</v>
      </c>
      <c r="O366" t="str">
        <f t="shared" si="38"/>
        <v>1 </v>
      </c>
      <c r="P366">
        <v>77.25</v>
      </c>
      <c r="Q366" t="s">
        <v>24</v>
      </c>
    </row>
    <row r="367" spans="1:17" ht="15">
      <c r="A367" t="s">
        <v>17</v>
      </c>
      <c r="B367" s="1">
        <v>41831</v>
      </c>
      <c r="C367" t="s">
        <v>191</v>
      </c>
      <c r="D367" t="str">
        <f>CONCATENATE("0040004016","")</f>
        <v>0040004016</v>
      </c>
      <c r="E367" t="str">
        <f>CONCATENATE("0060115001260       ","")</f>
        <v>0060115001260       </v>
      </c>
      <c r="F367" t="str">
        <f>CONCATENATE("1076372","")</f>
        <v>1076372</v>
      </c>
      <c r="G367" t="s">
        <v>730</v>
      </c>
      <c r="H367" t="s">
        <v>817</v>
      </c>
      <c r="I367" t="s">
        <v>818</v>
      </c>
      <c r="J367" t="str">
        <f t="shared" si="34"/>
        <v>080601</v>
      </c>
      <c r="K367" t="s">
        <v>22</v>
      </c>
      <c r="L367" t="s">
        <v>23</v>
      </c>
      <c r="M367" t="str">
        <f t="shared" si="39"/>
        <v>1</v>
      </c>
      <c r="O367" t="str">
        <f t="shared" si="38"/>
        <v>1 </v>
      </c>
      <c r="P367">
        <v>40.65</v>
      </c>
      <c r="Q367" t="s">
        <v>24</v>
      </c>
    </row>
    <row r="368" spans="1:17" ht="15">
      <c r="A368" t="s">
        <v>17</v>
      </c>
      <c r="B368" s="1">
        <v>41831</v>
      </c>
      <c r="C368" t="s">
        <v>191</v>
      </c>
      <c r="D368" t="str">
        <f>CONCATENATE("0040004019","")</f>
        <v>0040004019</v>
      </c>
      <c r="E368" t="str">
        <f>CONCATENATE("0060115001291       ","")</f>
        <v>0060115001291       </v>
      </c>
      <c r="F368" t="str">
        <f>CONCATENATE("2185692","")</f>
        <v>2185692</v>
      </c>
      <c r="G368" t="s">
        <v>792</v>
      </c>
      <c r="H368" t="s">
        <v>819</v>
      </c>
      <c r="I368" t="s">
        <v>820</v>
      </c>
      <c r="J368" t="str">
        <f t="shared" si="34"/>
        <v>080601</v>
      </c>
      <c r="K368" t="s">
        <v>22</v>
      </c>
      <c r="L368" t="s">
        <v>23</v>
      </c>
      <c r="M368" t="str">
        <f t="shared" si="39"/>
        <v>1</v>
      </c>
      <c r="O368" t="str">
        <f t="shared" si="38"/>
        <v>1 </v>
      </c>
      <c r="P368">
        <v>129.85</v>
      </c>
      <c r="Q368" t="s">
        <v>24</v>
      </c>
    </row>
    <row r="369" spans="1:17" ht="15">
      <c r="A369" t="s">
        <v>17</v>
      </c>
      <c r="B369" s="1">
        <v>41831</v>
      </c>
      <c r="C369" t="s">
        <v>191</v>
      </c>
      <c r="D369" t="str">
        <f>CONCATENATE("0040007560","")</f>
        <v>0040007560</v>
      </c>
      <c r="E369" t="str">
        <f>CONCATENATE("0060115001492       ","")</f>
        <v>0060115001492       </v>
      </c>
      <c r="F369" t="str">
        <f>CONCATENATE("605230625","")</f>
        <v>605230625</v>
      </c>
      <c r="G369" t="s">
        <v>764</v>
      </c>
      <c r="H369" t="s">
        <v>821</v>
      </c>
      <c r="I369" t="s">
        <v>822</v>
      </c>
      <c r="J369" t="str">
        <f t="shared" si="34"/>
        <v>080601</v>
      </c>
      <c r="K369" t="s">
        <v>22</v>
      </c>
      <c r="L369" t="s">
        <v>23</v>
      </c>
      <c r="M369" t="str">
        <f t="shared" si="39"/>
        <v>1</v>
      </c>
      <c r="O369" t="str">
        <f t="shared" si="38"/>
        <v>1 </v>
      </c>
      <c r="P369">
        <v>92.9</v>
      </c>
      <c r="Q369" t="s">
        <v>24</v>
      </c>
    </row>
    <row r="370" spans="1:17" ht="15">
      <c r="A370" t="s">
        <v>17</v>
      </c>
      <c r="B370" s="1">
        <v>41831</v>
      </c>
      <c r="C370" t="s">
        <v>191</v>
      </c>
      <c r="D370" t="str">
        <f>CONCATENATE("0040004061","")</f>
        <v>0040004061</v>
      </c>
      <c r="E370" t="str">
        <f>CONCATENATE("0060115001650       ","")</f>
        <v>0060115001650       </v>
      </c>
      <c r="F370" t="str">
        <f>CONCATENATE("05462228","")</f>
        <v>05462228</v>
      </c>
      <c r="G370" t="s">
        <v>792</v>
      </c>
      <c r="H370" t="s">
        <v>823</v>
      </c>
      <c r="I370" t="s">
        <v>824</v>
      </c>
      <c r="J370" t="str">
        <f t="shared" si="34"/>
        <v>080601</v>
      </c>
      <c r="K370" t="s">
        <v>22</v>
      </c>
      <c r="L370" t="s">
        <v>23</v>
      </c>
      <c r="M370" t="str">
        <f t="shared" si="39"/>
        <v>1</v>
      </c>
      <c r="O370" t="str">
        <f t="shared" si="38"/>
        <v>1 </v>
      </c>
      <c r="P370">
        <v>105.3</v>
      </c>
      <c r="Q370" t="s">
        <v>24</v>
      </c>
    </row>
    <row r="371" spans="1:17" ht="15">
      <c r="A371" t="s">
        <v>17</v>
      </c>
      <c r="B371" s="1">
        <v>41831</v>
      </c>
      <c r="C371" t="s">
        <v>191</v>
      </c>
      <c r="D371" t="str">
        <f>CONCATENATE("0040004063","")</f>
        <v>0040004063</v>
      </c>
      <c r="E371" t="str">
        <f>CONCATENATE("0060115001670       ","")</f>
        <v>0060115001670       </v>
      </c>
      <c r="F371" t="str">
        <f>CONCATENATE("05472296","")</f>
        <v>05472296</v>
      </c>
      <c r="G371" t="s">
        <v>792</v>
      </c>
      <c r="H371" t="s">
        <v>825</v>
      </c>
      <c r="I371" t="s">
        <v>826</v>
      </c>
      <c r="J371" t="str">
        <f t="shared" si="34"/>
        <v>080601</v>
      </c>
      <c r="K371" t="s">
        <v>22</v>
      </c>
      <c r="L371" t="s">
        <v>23</v>
      </c>
      <c r="M371" t="str">
        <f t="shared" si="39"/>
        <v>1</v>
      </c>
      <c r="O371" t="str">
        <f t="shared" si="38"/>
        <v>1 </v>
      </c>
      <c r="P371">
        <v>39.85</v>
      </c>
      <c r="Q371" t="s">
        <v>24</v>
      </c>
    </row>
    <row r="372" spans="1:17" ht="15">
      <c r="A372" t="s">
        <v>17</v>
      </c>
      <c r="B372" s="1">
        <v>41831</v>
      </c>
      <c r="C372" t="s">
        <v>191</v>
      </c>
      <c r="D372" t="str">
        <f>CONCATENATE("0040004078","")</f>
        <v>0040004078</v>
      </c>
      <c r="E372" t="str">
        <f>CONCATENATE("0060115001790       ","")</f>
        <v>0060115001790       </v>
      </c>
      <c r="F372" t="str">
        <f>CONCATENATE("605055167","")</f>
        <v>605055167</v>
      </c>
      <c r="G372" t="s">
        <v>792</v>
      </c>
      <c r="H372" t="s">
        <v>827</v>
      </c>
      <c r="I372" t="s">
        <v>828</v>
      </c>
      <c r="J372" t="str">
        <f t="shared" si="34"/>
        <v>080601</v>
      </c>
      <c r="K372" t="s">
        <v>22</v>
      </c>
      <c r="L372" t="s">
        <v>23</v>
      </c>
      <c r="M372" t="str">
        <f t="shared" si="39"/>
        <v>1</v>
      </c>
      <c r="O372" t="str">
        <f t="shared" si="38"/>
        <v>1 </v>
      </c>
      <c r="P372">
        <v>51</v>
      </c>
      <c r="Q372" t="s">
        <v>24</v>
      </c>
    </row>
    <row r="373" spans="1:17" ht="15">
      <c r="A373" t="s">
        <v>17</v>
      </c>
      <c r="B373" s="1">
        <v>41831</v>
      </c>
      <c r="C373" t="s">
        <v>191</v>
      </c>
      <c r="D373" t="str">
        <f>CONCATENATE("0040004149","")</f>
        <v>0040004149</v>
      </c>
      <c r="E373" t="str">
        <f>CONCATENATE("0060116000465       ","")</f>
        <v>0060116000465       </v>
      </c>
      <c r="F373" t="str">
        <f>CONCATENATE("507001661","")</f>
        <v>507001661</v>
      </c>
      <c r="G373" t="s">
        <v>730</v>
      </c>
      <c r="H373" t="s">
        <v>829</v>
      </c>
      <c r="I373" t="s">
        <v>830</v>
      </c>
      <c r="J373" t="str">
        <f t="shared" si="34"/>
        <v>080601</v>
      </c>
      <c r="K373" t="s">
        <v>22</v>
      </c>
      <c r="L373" t="s">
        <v>23</v>
      </c>
      <c r="M373" t="str">
        <f t="shared" si="39"/>
        <v>1</v>
      </c>
      <c r="O373" t="str">
        <f t="shared" si="38"/>
        <v>1 </v>
      </c>
      <c r="P373">
        <v>215.55</v>
      </c>
      <c r="Q373" t="s">
        <v>326</v>
      </c>
    </row>
    <row r="374" spans="1:17" ht="15">
      <c r="A374" t="s">
        <v>17</v>
      </c>
      <c r="B374" s="1">
        <v>41831</v>
      </c>
      <c r="C374" t="s">
        <v>191</v>
      </c>
      <c r="D374" t="str">
        <f>CONCATENATE("0040004153","")</f>
        <v>0040004153</v>
      </c>
      <c r="E374" t="str">
        <f>CONCATENATE("0060116000510       ","")</f>
        <v>0060116000510       </v>
      </c>
      <c r="F374" t="str">
        <f>CONCATENATE("00005404354","")</f>
        <v>00005404354</v>
      </c>
      <c r="G374" t="s">
        <v>730</v>
      </c>
      <c r="H374" t="s">
        <v>831</v>
      </c>
      <c r="I374" t="s">
        <v>832</v>
      </c>
      <c r="J374" t="str">
        <f t="shared" si="34"/>
        <v>080601</v>
      </c>
      <c r="K374" t="s">
        <v>22</v>
      </c>
      <c r="L374" t="s">
        <v>23</v>
      </c>
      <c r="M374" t="str">
        <f t="shared" si="39"/>
        <v>1</v>
      </c>
      <c r="O374" t="str">
        <f t="shared" si="38"/>
        <v>1 </v>
      </c>
      <c r="P374">
        <v>54.55</v>
      </c>
      <c r="Q374" t="s">
        <v>24</v>
      </c>
    </row>
    <row r="375" spans="1:17" ht="15">
      <c r="A375" t="s">
        <v>17</v>
      </c>
      <c r="B375" s="1">
        <v>41831</v>
      </c>
      <c r="C375" t="s">
        <v>191</v>
      </c>
      <c r="D375" t="str">
        <f>CONCATENATE("0040010082","")</f>
        <v>0040010082</v>
      </c>
      <c r="E375" t="str">
        <f>CONCATENATE("0060116000526       ","")</f>
        <v>0060116000526       </v>
      </c>
      <c r="F375" t="str">
        <f>CONCATENATE("07295394","")</f>
        <v>07295394</v>
      </c>
      <c r="G375" t="s">
        <v>730</v>
      </c>
      <c r="H375" t="s">
        <v>833</v>
      </c>
      <c r="I375" t="s">
        <v>834</v>
      </c>
      <c r="J375" t="str">
        <f t="shared" si="34"/>
        <v>080601</v>
      </c>
      <c r="K375" t="s">
        <v>22</v>
      </c>
      <c r="L375" t="s">
        <v>23</v>
      </c>
      <c r="M375" t="str">
        <f t="shared" si="39"/>
        <v>1</v>
      </c>
      <c r="O375" t="str">
        <f t="shared" si="38"/>
        <v>1 </v>
      </c>
      <c r="P375">
        <v>176</v>
      </c>
      <c r="Q375" t="s">
        <v>24</v>
      </c>
    </row>
    <row r="376" spans="1:17" ht="15">
      <c r="A376" t="s">
        <v>17</v>
      </c>
      <c r="B376" s="1">
        <v>41831</v>
      </c>
      <c r="C376" t="s">
        <v>191</v>
      </c>
      <c r="D376" t="str">
        <f>CONCATENATE("0040004208","")</f>
        <v>0040004208</v>
      </c>
      <c r="E376" t="str">
        <f>CONCATENATE("0060117000520       ","")</f>
        <v>0060117000520       </v>
      </c>
      <c r="F376" t="str">
        <f>CONCATENATE("0605350990","")</f>
        <v>0605350990</v>
      </c>
      <c r="G376" t="s">
        <v>835</v>
      </c>
      <c r="H376" t="s">
        <v>836</v>
      </c>
      <c r="I376" t="s">
        <v>837</v>
      </c>
      <c r="J376" t="str">
        <f t="shared" si="34"/>
        <v>080601</v>
      </c>
      <c r="K376" t="s">
        <v>22</v>
      </c>
      <c r="L376" t="s">
        <v>23</v>
      </c>
      <c r="M376" t="str">
        <f t="shared" si="39"/>
        <v>1</v>
      </c>
      <c r="O376" t="str">
        <f t="shared" si="38"/>
        <v>1 </v>
      </c>
      <c r="P376">
        <v>118.4</v>
      </c>
      <c r="Q376" t="s">
        <v>24</v>
      </c>
    </row>
    <row r="377" spans="1:17" ht="15">
      <c r="A377" t="s">
        <v>17</v>
      </c>
      <c r="B377" s="1">
        <v>41831</v>
      </c>
      <c r="C377" t="s">
        <v>191</v>
      </c>
      <c r="D377" t="str">
        <f>CONCATENATE("0040019155","")</f>
        <v>0040019155</v>
      </c>
      <c r="E377" t="str">
        <f>CONCATENATE("0060117001087       ","")</f>
        <v>0060117001087       </v>
      </c>
      <c r="F377" t="str">
        <f>CONCATENATE("605394065","")</f>
        <v>605394065</v>
      </c>
      <c r="G377" t="s">
        <v>838</v>
      </c>
      <c r="H377" t="s">
        <v>839</v>
      </c>
      <c r="I377" t="s">
        <v>840</v>
      </c>
      <c r="J377" t="str">
        <f t="shared" si="34"/>
        <v>080601</v>
      </c>
      <c r="K377" t="s">
        <v>22</v>
      </c>
      <c r="L377" t="s">
        <v>23</v>
      </c>
      <c r="M377" t="str">
        <f t="shared" si="39"/>
        <v>1</v>
      </c>
      <c r="O377" t="str">
        <f t="shared" si="38"/>
        <v>1 </v>
      </c>
      <c r="P377">
        <v>16.85</v>
      </c>
      <c r="Q377" t="s">
        <v>24</v>
      </c>
    </row>
    <row r="378" spans="1:17" ht="15">
      <c r="A378" t="s">
        <v>17</v>
      </c>
      <c r="B378" s="1">
        <v>41831</v>
      </c>
      <c r="C378" t="s">
        <v>191</v>
      </c>
      <c r="D378" t="str">
        <f>CONCATENATE("0040018254","")</f>
        <v>0040018254</v>
      </c>
      <c r="E378" t="str">
        <f>CONCATENATE("0060118000058       ","")</f>
        <v>0060118000058       </v>
      </c>
      <c r="F378" t="str">
        <f>CONCATENATE("1038160","")</f>
        <v>1038160</v>
      </c>
      <c r="G378" t="s">
        <v>841</v>
      </c>
      <c r="H378" t="s">
        <v>842</v>
      </c>
      <c r="I378" t="s">
        <v>843</v>
      </c>
      <c r="J378" t="str">
        <f t="shared" si="34"/>
        <v>080601</v>
      </c>
      <c r="K378" t="s">
        <v>22</v>
      </c>
      <c r="L378" t="s">
        <v>23</v>
      </c>
      <c r="M378" t="str">
        <f t="shared" si="39"/>
        <v>1</v>
      </c>
      <c r="O378" t="str">
        <f t="shared" si="38"/>
        <v>1 </v>
      </c>
      <c r="P378">
        <v>56.9</v>
      </c>
      <c r="Q378" t="s">
        <v>24</v>
      </c>
    </row>
    <row r="379" spans="1:17" ht="15">
      <c r="A379" t="s">
        <v>17</v>
      </c>
      <c r="B379" s="1">
        <v>41831</v>
      </c>
      <c r="C379" t="s">
        <v>191</v>
      </c>
      <c r="D379" t="str">
        <f>CONCATENATE("0040015227","")</f>
        <v>0040015227</v>
      </c>
      <c r="E379" t="str">
        <f>CONCATENATE("0060118000245       ","")</f>
        <v>0060118000245       </v>
      </c>
      <c r="F379" t="str">
        <f>CONCATENATE("09499447","")</f>
        <v>09499447</v>
      </c>
      <c r="G379" t="s">
        <v>844</v>
      </c>
      <c r="H379" t="s">
        <v>845</v>
      </c>
      <c r="I379" t="s">
        <v>846</v>
      </c>
      <c r="J379" t="str">
        <f t="shared" si="34"/>
        <v>080601</v>
      </c>
      <c r="K379" t="s">
        <v>22</v>
      </c>
      <c r="L379" t="s">
        <v>23</v>
      </c>
      <c r="M379" t="str">
        <f t="shared" si="39"/>
        <v>1</v>
      </c>
      <c r="O379" t="str">
        <f t="shared" si="38"/>
        <v>1 </v>
      </c>
      <c r="P379">
        <v>29.75</v>
      </c>
      <c r="Q379" t="s">
        <v>24</v>
      </c>
    </row>
    <row r="380" spans="1:17" ht="15">
      <c r="A380" t="s">
        <v>17</v>
      </c>
      <c r="B380" s="1">
        <v>41831</v>
      </c>
      <c r="C380" t="s">
        <v>191</v>
      </c>
      <c r="D380" t="str">
        <f>CONCATENATE("0040027430","")</f>
        <v>0040027430</v>
      </c>
      <c r="E380" t="str">
        <f>CONCATENATE("0060118000290       ","")</f>
        <v>0060118000290       </v>
      </c>
      <c r="F380" t="str">
        <f>CONCATENATE("2126122","")</f>
        <v>2126122</v>
      </c>
      <c r="G380" t="s">
        <v>844</v>
      </c>
      <c r="H380" t="s">
        <v>847</v>
      </c>
      <c r="I380" t="s">
        <v>848</v>
      </c>
      <c r="J380" t="str">
        <f t="shared" si="34"/>
        <v>080601</v>
      </c>
      <c r="K380" t="s">
        <v>22</v>
      </c>
      <c r="L380" t="s">
        <v>23</v>
      </c>
      <c r="M380" t="str">
        <f t="shared" si="39"/>
        <v>1</v>
      </c>
      <c r="O380" t="str">
        <f t="shared" si="38"/>
        <v>1 </v>
      </c>
      <c r="P380">
        <v>10.05</v>
      </c>
      <c r="Q380" t="s">
        <v>24</v>
      </c>
    </row>
    <row r="381" spans="1:17" ht="15">
      <c r="A381" t="s">
        <v>17</v>
      </c>
      <c r="B381" s="1">
        <v>41831</v>
      </c>
      <c r="C381" t="s">
        <v>191</v>
      </c>
      <c r="D381" t="str">
        <f>CONCATENATE("0040033502","")</f>
        <v>0040033502</v>
      </c>
      <c r="E381" t="str">
        <f>CONCATENATE("0060118000320       ","")</f>
        <v>0060118000320       </v>
      </c>
      <c r="F381" t="str">
        <f>CONCATENATE("0606665976","")</f>
        <v>0606665976</v>
      </c>
      <c r="G381" t="s">
        <v>844</v>
      </c>
      <c r="H381" t="s">
        <v>849</v>
      </c>
      <c r="I381" t="s">
        <v>850</v>
      </c>
      <c r="J381" t="str">
        <f t="shared" si="34"/>
        <v>080601</v>
      </c>
      <c r="K381" t="s">
        <v>22</v>
      </c>
      <c r="L381" t="s">
        <v>23</v>
      </c>
      <c r="M381" t="str">
        <f t="shared" si="39"/>
        <v>1</v>
      </c>
      <c r="O381" t="str">
        <f t="shared" si="38"/>
        <v>1 </v>
      </c>
      <c r="P381">
        <v>10.5</v>
      </c>
      <c r="Q381" t="s">
        <v>24</v>
      </c>
    </row>
    <row r="382" spans="1:17" ht="15">
      <c r="A382" t="s">
        <v>17</v>
      </c>
      <c r="B382" s="1">
        <v>41831</v>
      </c>
      <c r="C382" t="s">
        <v>191</v>
      </c>
      <c r="D382" t="str">
        <f>CONCATENATE("0040019738","")</f>
        <v>0040019738</v>
      </c>
      <c r="E382" t="str">
        <f>CONCATENATE("0060118000473       ","")</f>
        <v>0060118000473       </v>
      </c>
      <c r="F382" t="str">
        <f>CONCATENATE("605623849","")</f>
        <v>605623849</v>
      </c>
      <c r="G382" t="s">
        <v>851</v>
      </c>
      <c r="H382" t="s">
        <v>852</v>
      </c>
      <c r="I382" t="s">
        <v>853</v>
      </c>
      <c r="J382" t="str">
        <f t="shared" si="34"/>
        <v>080601</v>
      </c>
      <c r="K382" t="s">
        <v>22</v>
      </c>
      <c r="L382" t="s">
        <v>23</v>
      </c>
      <c r="M382" t="str">
        <f t="shared" si="39"/>
        <v>1</v>
      </c>
      <c r="O382" t="str">
        <f t="shared" si="38"/>
        <v>1 </v>
      </c>
      <c r="P382">
        <v>28.85</v>
      </c>
      <c r="Q382" t="s">
        <v>24</v>
      </c>
    </row>
    <row r="383" spans="1:17" ht="15">
      <c r="A383" t="s">
        <v>17</v>
      </c>
      <c r="B383" s="1">
        <v>41831</v>
      </c>
      <c r="C383" t="s">
        <v>191</v>
      </c>
      <c r="D383" t="str">
        <f>CONCATENATE("0040021407","")</f>
        <v>0040021407</v>
      </c>
      <c r="E383" t="str">
        <f>CONCATENATE("0060118000493       ","")</f>
        <v>0060118000493       </v>
      </c>
      <c r="F383" t="str">
        <f>CONCATENATE("606135451","")</f>
        <v>606135451</v>
      </c>
      <c r="G383" t="s">
        <v>851</v>
      </c>
      <c r="H383" t="s">
        <v>854</v>
      </c>
      <c r="I383" t="s">
        <v>855</v>
      </c>
      <c r="J383" t="str">
        <f t="shared" si="34"/>
        <v>080601</v>
      </c>
      <c r="K383" t="s">
        <v>22</v>
      </c>
      <c r="L383" t="s">
        <v>23</v>
      </c>
      <c r="M383" t="str">
        <f t="shared" si="39"/>
        <v>1</v>
      </c>
      <c r="O383" t="str">
        <f t="shared" si="38"/>
        <v>1 </v>
      </c>
      <c r="P383">
        <v>32.7</v>
      </c>
      <c r="Q383" t="s">
        <v>24</v>
      </c>
    </row>
    <row r="384" spans="1:17" ht="15">
      <c r="A384" t="s">
        <v>17</v>
      </c>
      <c r="B384" s="1">
        <v>41831</v>
      </c>
      <c r="C384" t="s">
        <v>191</v>
      </c>
      <c r="D384" t="str">
        <f>CONCATENATE("0040011052","")</f>
        <v>0040011052</v>
      </c>
      <c r="E384" t="str">
        <f>CONCATENATE("0060119000042       ","")</f>
        <v>0060119000042       </v>
      </c>
      <c r="F384" t="str">
        <f>CONCATENATE("606589708","")</f>
        <v>606589708</v>
      </c>
      <c r="G384" t="s">
        <v>844</v>
      </c>
      <c r="H384" t="s">
        <v>856</v>
      </c>
      <c r="I384" t="s">
        <v>857</v>
      </c>
      <c r="J384" t="str">
        <f t="shared" si="34"/>
        <v>080601</v>
      </c>
      <c r="K384" t="s">
        <v>22</v>
      </c>
      <c r="L384" t="s">
        <v>23</v>
      </c>
      <c r="M384" t="str">
        <f t="shared" si="39"/>
        <v>1</v>
      </c>
      <c r="O384" t="str">
        <f t="shared" si="38"/>
        <v>1 </v>
      </c>
      <c r="P384">
        <v>91.05</v>
      </c>
      <c r="Q384" t="s">
        <v>24</v>
      </c>
    </row>
    <row r="385" spans="1:17" ht="15">
      <c r="A385" t="s">
        <v>17</v>
      </c>
      <c r="B385" s="1">
        <v>41831</v>
      </c>
      <c r="C385" t="s">
        <v>858</v>
      </c>
      <c r="D385" t="str">
        <f>CONCATENATE("0040012282","")</f>
        <v>0040012282</v>
      </c>
      <c r="E385" t="str">
        <f>CONCATENATE("0060120000276       ","")</f>
        <v>0060120000276       </v>
      </c>
      <c r="F385" t="str">
        <f>CONCATENATE("07296520","")</f>
        <v>07296520</v>
      </c>
      <c r="G385" t="s">
        <v>859</v>
      </c>
      <c r="H385" t="s">
        <v>860</v>
      </c>
      <c r="I385" t="s">
        <v>861</v>
      </c>
      <c r="J385" t="str">
        <f aca="true" t="shared" si="40" ref="J385:J405">CONCATENATE("080604","")</f>
        <v>080604</v>
      </c>
      <c r="K385" t="s">
        <v>22</v>
      </c>
      <c r="L385" t="s">
        <v>23</v>
      </c>
      <c r="M385" t="str">
        <f t="shared" si="39"/>
        <v>1</v>
      </c>
      <c r="O385" t="str">
        <f t="shared" si="38"/>
        <v>1 </v>
      </c>
      <c r="P385">
        <v>27.6</v>
      </c>
      <c r="Q385" t="s">
        <v>24</v>
      </c>
    </row>
    <row r="386" spans="1:17" ht="15">
      <c r="A386" t="s">
        <v>17</v>
      </c>
      <c r="B386" s="1">
        <v>41831</v>
      </c>
      <c r="C386" t="s">
        <v>858</v>
      </c>
      <c r="D386" t="str">
        <f>CONCATENATE("0040013731","")</f>
        <v>0040013731</v>
      </c>
      <c r="E386" t="str">
        <f>CONCATENATE("0060120000323       ","")</f>
        <v>0060120000323       </v>
      </c>
      <c r="F386" t="str">
        <f>CONCATENATE("507029499","")</f>
        <v>507029499</v>
      </c>
      <c r="G386" t="s">
        <v>859</v>
      </c>
      <c r="H386" t="s">
        <v>862</v>
      </c>
      <c r="I386" t="s">
        <v>863</v>
      </c>
      <c r="J386" t="str">
        <f t="shared" si="40"/>
        <v>080604</v>
      </c>
      <c r="K386" t="s">
        <v>22</v>
      </c>
      <c r="L386" t="s">
        <v>23</v>
      </c>
      <c r="M386" t="str">
        <f>CONCATENATE("3","")</f>
        <v>3</v>
      </c>
      <c r="O386" t="str">
        <f t="shared" si="38"/>
        <v>1 </v>
      </c>
      <c r="P386">
        <v>46.55</v>
      </c>
      <c r="Q386" t="s">
        <v>326</v>
      </c>
    </row>
    <row r="387" spans="1:17" ht="15">
      <c r="A387" t="s">
        <v>17</v>
      </c>
      <c r="B387" s="1">
        <v>41831</v>
      </c>
      <c r="C387" t="s">
        <v>858</v>
      </c>
      <c r="D387" t="str">
        <f>CONCATENATE("0040004420","")</f>
        <v>0040004420</v>
      </c>
      <c r="E387" t="str">
        <f>CONCATENATE("0060120000340       ","")</f>
        <v>0060120000340       </v>
      </c>
      <c r="F387" t="str">
        <f>CONCATENATE("605056966","")</f>
        <v>605056966</v>
      </c>
      <c r="G387" t="s">
        <v>859</v>
      </c>
      <c r="H387" t="s">
        <v>864</v>
      </c>
      <c r="I387" t="s">
        <v>865</v>
      </c>
      <c r="J387" t="str">
        <f t="shared" si="40"/>
        <v>080604</v>
      </c>
      <c r="K387" t="s">
        <v>22</v>
      </c>
      <c r="L387" t="s">
        <v>23</v>
      </c>
      <c r="M387" t="str">
        <f>CONCATENATE("1","")</f>
        <v>1</v>
      </c>
      <c r="O387" t="str">
        <f t="shared" si="38"/>
        <v>1 </v>
      </c>
      <c r="P387">
        <v>11.55</v>
      </c>
      <c r="Q387" t="s">
        <v>24</v>
      </c>
    </row>
    <row r="388" spans="1:17" ht="15">
      <c r="A388" t="s">
        <v>17</v>
      </c>
      <c r="B388" s="1">
        <v>41831</v>
      </c>
      <c r="C388" t="s">
        <v>858</v>
      </c>
      <c r="D388" t="str">
        <f>CONCATENATE("0040007550","")</f>
        <v>0040007550</v>
      </c>
      <c r="E388" t="str">
        <f>CONCATENATE("0060120000353       ","")</f>
        <v>0060120000353       </v>
      </c>
      <c r="F388" t="str">
        <f>CONCATENATE("0507008861","")</f>
        <v>0507008861</v>
      </c>
      <c r="G388" t="s">
        <v>859</v>
      </c>
      <c r="H388" t="s">
        <v>866</v>
      </c>
      <c r="I388" t="s">
        <v>867</v>
      </c>
      <c r="J388" t="str">
        <f t="shared" si="40"/>
        <v>080604</v>
      </c>
      <c r="K388" t="s">
        <v>22</v>
      </c>
      <c r="L388" t="s">
        <v>23</v>
      </c>
      <c r="M388" t="str">
        <f>CONCATENATE("3","")</f>
        <v>3</v>
      </c>
      <c r="O388" t="str">
        <f t="shared" si="38"/>
        <v>1 </v>
      </c>
      <c r="P388">
        <v>1741.65</v>
      </c>
      <c r="Q388" t="s">
        <v>326</v>
      </c>
    </row>
    <row r="389" spans="1:17" ht="15">
      <c r="A389" t="s">
        <v>17</v>
      </c>
      <c r="B389" s="1">
        <v>41831</v>
      </c>
      <c r="C389" t="s">
        <v>858</v>
      </c>
      <c r="D389" t="str">
        <f>CONCATENATE("0040004426","")</f>
        <v>0040004426</v>
      </c>
      <c r="E389" t="str">
        <f>CONCATENATE("0060120000384       ","")</f>
        <v>0060120000384       </v>
      </c>
      <c r="F389" t="str">
        <f>CONCATENATE("2186631","")</f>
        <v>2186631</v>
      </c>
      <c r="G389" t="s">
        <v>859</v>
      </c>
      <c r="H389" t="s">
        <v>868</v>
      </c>
      <c r="I389" t="s">
        <v>869</v>
      </c>
      <c r="J389" t="str">
        <f t="shared" si="40"/>
        <v>080604</v>
      </c>
      <c r="K389" t="s">
        <v>22</v>
      </c>
      <c r="L389" t="s">
        <v>23</v>
      </c>
      <c r="M389" t="str">
        <f>CONCATENATE("1","")</f>
        <v>1</v>
      </c>
      <c r="O389" t="str">
        <f t="shared" si="38"/>
        <v>1 </v>
      </c>
      <c r="P389">
        <v>18.7</v>
      </c>
      <c r="Q389" t="s">
        <v>24</v>
      </c>
    </row>
    <row r="390" spans="1:17" ht="15">
      <c r="A390" t="s">
        <v>17</v>
      </c>
      <c r="B390" s="1">
        <v>41831</v>
      </c>
      <c r="C390" t="s">
        <v>858</v>
      </c>
      <c r="D390" t="str">
        <f>CONCATENATE("0040007813","")</f>
        <v>0040007813</v>
      </c>
      <c r="E390" t="str">
        <f>CONCATENATE("0060120000391       ","")</f>
        <v>0060120000391       </v>
      </c>
      <c r="F390" t="str">
        <f>CONCATENATE("605555743","")</f>
        <v>605555743</v>
      </c>
      <c r="G390" t="s">
        <v>859</v>
      </c>
      <c r="H390" t="s">
        <v>870</v>
      </c>
      <c r="I390" t="s">
        <v>871</v>
      </c>
      <c r="J390" t="str">
        <f t="shared" si="40"/>
        <v>080604</v>
      </c>
      <c r="K390" t="s">
        <v>22</v>
      </c>
      <c r="L390" t="s">
        <v>23</v>
      </c>
      <c r="M390" t="str">
        <f>CONCATENATE("1","")</f>
        <v>1</v>
      </c>
      <c r="O390" t="str">
        <f t="shared" si="38"/>
        <v>1 </v>
      </c>
      <c r="P390">
        <v>115.25</v>
      </c>
      <c r="Q390" t="s">
        <v>24</v>
      </c>
    </row>
    <row r="391" spans="1:17" ht="15">
      <c r="A391" t="s">
        <v>17</v>
      </c>
      <c r="B391" s="1">
        <v>41831</v>
      </c>
      <c r="C391" t="s">
        <v>858</v>
      </c>
      <c r="D391" t="str">
        <f>CONCATENATE("0040017661","")</f>
        <v>0040017661</v>
      </c>
      <c r="E391" t="str">
        <f>CONCATENATE("0060120000445       ","")</f>
        <v>0060120000445       </v>
      </c>
      <c r="F391" t="str">
        <f>CONCATENATE("11564","")</f>
        <v>11564</v>
      </c>
      <c r="G391" t="s">
        <v>872</v>
      </c>
      <c r="H391" t="s">
        <v>873</v>
      </c>
      <c r="I391" t="s">
        <v>874</v>
      </c>
      <c r="J391" t="str">
        <f t="shared" si="40"/>
        <v>080604</v>
      </c>
      <c r="K391" t="s">
        <v>22</v>
      </c>
      <c r="L391" t="s">
        <v>23</v>
      </c>
      <c r="M391" t="str">
        <f>CONCATENATE("3","")</f>
        <v>3</v>
      </c>
      <c r="O391" t="str">
        <f>CONCATENATE("3 ","")</f>
        <v>3 </v>
      </c>
      <c r="P391">
        <v>1692.95</v>
      </c>
      <c r="Q391" t="s">
        <v>326</v>
      </c>
    </row>
    <row r="392" spans="1:17" ht="15">
      <c r="A392" t="s">
        <v>17</v>
      </c>
      <c r="B392" s="1">
        <v>41831</v>
      </c>
      <c r="C392" t="s">
        <v>858</v>
      </c>
      <c r="D392" t="str">
        <f>CONCATENATE("0040027396","")</f>
        <v>0040027396</v>
      </c>
      <c r="E392" t="str">
        <f>CONCATENATE("0060120000545       ","")</f>
        <v>0060120000545       </v>
      </c>
      <c r="F392" t="str">
        <f>CONCATENATE("605285394","")</f>
        <v>605285394</v>
      </c>
      <c r="G392" t="s">
        <v>875</v>
      </c>
      <c r="H392" t="s">
        <v>876</v>
      </c>
      <c r="I392" t="s">
        <v>877</v>
      </c>
      <c r="J392" t="str">
        <f t="shared" si="40"/>
        <v>080604</v>
      </c>
      <c r="K392" t="s">
        <v>22</v>
      </c>
      <c r="L392" t="s">
        <v>23</v>
      </c>
      <c r="M392" t="str">
        <f aca="true" t="shared" si="41" ref="M392:M411">CONCATENATE("1","")</f>
        <v>1</v>
      </c>
      <c r="O392" t="str">
        <f>CONCATENATE("1 ","")</f>
        <v>1 </v>
      </c>
      <c r="P392">
        <v>44.2</v>
      </c>
      <c r="Q392" t="s">
        <v>24</v>
      </c>
    </row>
    <row r="393" spans="1:17" ht="15">
      <c r="A393" t="s">
        <v>17</v>
      </c>
      <c r="B393" s="1">
        <v>41831</v>
      </c>
      <c r="C393" t="s">
        <v>858</v>
      </c>
      <c r="D393" t="str">
        <f>CONCATENATE("0040008030","")</f>
        <v>0040008030</v>
      </c>
      <c r="E393" t="str">
        <f>CONCATENATE("0060120000575       ","")</f>
        <v>0060120000575       </v>
      </c>
      <c r="F393" t="str">
        <f>CONCATENATE("605056016","")</f>
        <v>605056016</v>
      </c>
      <c r="G393" t="s">
        <v>875</v>
      </c>
      <c r="H393" t="s">
        <v>878</v>
      </c>
      <c r="I393" t="str">
        <f>CONCATENATE("4-ESQUINAS-MARANGANI","")</f>
        <v>4-ESQUINAS-MARANGANI</v>
      </c>
      <c r="J393" t="str">
        <f t="shared" si="40"/>
        <v>080604</v>
      </c>
      <c r="K393" t="s">
        <v>22</v>
      </c>
      <c r="L393" t="s">
        <v>23</v>
      </c>
      <c r="M393" t="str">
        <f t="shared" si="41"/>
        <v>1</v>
      </c>
      <c r="O393" t="str">
        <f>CONCATENATE("1 ","")</f>
        <v>1 </v>
      </c>
      <c r="P393">
        <v>45.1</v>
      </c>
      <c r="Q393" t="s">
        <v>24</v>
      </c>
    </row>
    <row r="394" spans="1:17" ht="15">
      <c r="A394" t="s">
        <v>17</v>
      </c>
      <c r="B394" s="1">
        <v>41831</v>
      </c>
      <c r="C394" t="s">
        <v>858</v>
      </c>
      <c r="D394" t="str">
        <f>CONCATENATE("0040004499","")</f>
        <v>0040004499</v>
      </c>
      <c r="E394" t="str">
        <f>CONCATENATE("0060120000890       ","")</f>
        <v>0060120000890       </v>
      </c>
      <c r="F394" t="str">
        <f>CONCATENATE("605749241","")</f>
        <v>605749241</v>
      </c>
      <c r="G394" t="s">
        <v>875</v>
      </c>
      <c r="H394" t="s">
        <v>879</v>
      </c>
      <c r="I394" t="s">
        <v>880</v>
      </c>
      <c r="J394" t="str">
        <f t="shared" si="40"/>
        <v>080604</v>
      </c>
      <c r="K394" t="s">
        <v>22</v>
      </c>
      <c r="L394" t="s">
        <v>23</v>
      </c>
      <c r="M394" t="str">
        <f t="shared" si="41"/>
        <v>1</v>
      </c>
      <c r="O394" t="str">
        <f>CONCATENATE("1 ","")</f>
        <v>1 </v>
      </c>
      <c r="P394">
        <v>84.35</v>
      </c>
      <c r="Q394" t="s">
        <v>24</v>
      </c>
    </row>
    <row r="395" spans="1:17" ht="15">
      <c r="A395" t="s">
        <v>17</v>
      </c>
      <c r="B395" s="1">
        <v>41831</v>
      </c>
      <c r="C395" t="s">
        <v>858</v>
      </c>
      <c r="D395" t="str">
        <f>CONCATENATE("0040004527","")</f>
        <v>0040004527</v>
      </c>
      <c r="E395" t="str">
        <f>CONCATENATE("0060120001085       ","")</f>
        <v>0060120001085       </v>
      </c>
      <c r="F395" t="str">
        <f>CONCATENATE("605056110","")</f>
        <v>605056110</v>
      </c>
      <c r="G395" t="s">
        <v>875</v>
      </c>
      <c r="H395" t="s">
        <v>881</v>
      </c>
      <c r="I395" t="s">
        <v>882</v>
      </c>
      <c r="J395" t="str">
        <f t="shared" si="40"/>
        <v>080604</v>
      </c>
      <c r="K395" t="s">
        <v>22</v>
      </c>
      <c r="L395" t="s">
        <v>23</v>
      </c>
      <c r="M395" t="str">
        <f t="shared" si="41"/>
        <v>1</v>
      </c>
      <c r="O395" t="str">
        <f>CONCATENATE("1 ","")</f>
        <v>1 </v>
      </c>
      <c r="P395">
        <v>98.5</v>
      </c>
      <c r="Q395" t="s">
        <v>24</v>
      </c>
    </row>
    <row r="396" spans="1:17" ht="15">
      <c r="A396" t="s">
        <v>17</v>
      </c>
      <c r="B396" s="1">
        <v>41831</v>
      </c>
      <c r="C396" t="s">
        <v>858</v>
      </c>
      <c r="D396" t="str">
        <f>CONCATENATE("0040007822","")</f>
        <v>0040007822</v>
      </c>
      <c r="E396" t="str">
        <f>CONCATENATE("0060120001088       ","")</f>
        <v>0060120001088       </v>
      </c>
      <c r="F396" t="str">
        <f>CONCATENATE("605056123","")</f>
        <v>605056123</v>
      </c>
      <c r="G396" t="s">
        <v>875</v>
      </c>
      <c r="H396" t="s">
        <v>883</v>
      </c>
      <c r="I396" t="s">
        <v>884</v>
      </c>
      <c r="J396" t="str">
        <f t="shared" si="40"/>
        <v>080604</v>
      </c>
      <c r="K396" t="s">
        <v>22</v>
      </c>
      <c r="L396" t="s">
        <v>23</v>
      </c>
      <c r="M396" t="str">
        <f t="shared" si="41"/>
        <v>1</v>
      </c>
      <c r="O396" t="str">
        <f>CONCATENATE("3 ","")</f>
        <v>3 </v>
      </c>
      <c r="P396">
        <v>27.15</v>
      </c>
      <c r="Q396" t="s">
        <v>24</v>
      </c>
    </row>
    <row r="397" spans="1:17" ht="15">
      <c r="A397" t="s">
        <v>17</v>
      </c>
      <c r="B397" s="1">
        <v>41831</v>
      </c>
      <c r="C397" t="s">
        <v>858</v>
      </c>
      <c r="D397" t="str">
        <f>CONCATENATE("0040007986","")</f>
        <v>0040007986</v>
      </c>
      <c r="E397" t="str">
        <f>CONCATENATE("0060120001136       ","")</f>
        <v>0060120001136       </v>
      </c>
      <c r="F397" t="str">
        <f>CONCATENATE("2121364","")</f>
        <v>2121364</v>
      </c>
      <c r="G397" t="s">
        <v>875</v>
      </c>
      <c r="H397" t="s">
        <v>885</v>
      </c>
      <c r="I397" t="s">
        <v>886</v>
      </c>
      <c r="J397" t="str">
        <f t="shared" si="40"/>
        <v>080604</v>
      </c>
      <c r="K397" t="s">
        <v>22</v>
      </c>
      <c r="L397" t="s">
        <v>23</v>
      </c>
      <c r="M397" t="str">
        <f t="shared" si="41"/>
        <v>1</v>
      </c>
      <c r="O397" t="str">
        <f aca="true" t="shared" si="42" ref="O397:O404">CONCATENATE("1 ","")</f>
        <v>1 </v>
      </c>
      <c r="P397">
        <v>55.95</v>
      </c>
      <c r="Q397" t="s">
        <v>24</v>
      </c>
    </row>
    <row r="398" spans="1:17" ht="15">
      <c r="A398" t="s">
        <v>17</v>
      </c>
      <c r="B398" s="1">
        <v>41831</v>
      </c>
      <c r="C398" t="s">
        <v>858</v>
      </c>
      <c r="D398" t="str">
        <f>CONCATENATE("0040007984","")</f>
        <v>0040007984</v>
      </c>
      <c r="E398" t="str">
        <f>CONCATENATE("0060120001173       ","")</f>
        <v>0060120001173       </v>
      </c>
      <c r="F398" t="str">
        <f>CONCATENATE("605056122","")</f>
        <v>605056122</v>
      </c>
      <c r="G398" t="s">
        <v>859</v>
      </c>
      <c r="H398" t="s">
        <v>887</v>
      </c>
      <c r="I398" t="s">
        <v>888</v>
      </c>
      <c r="J398" t="str">
        <f t="shared" si="40"/>
        <v>080604</v>
      </c>
      <c r="K398" t="s">
        <v>22</v>
      </c>
      <c r="L398" t="s">
        <v>23</v>
      </c>
      <c r="M398" t="str">
        <f t="shared" si="41"/>
        <v>1</v>
      </c>
      <c r="O398" t="str">
        <f t="shared" si="42"/>
        <v>1 </v>
      </c>
      <c r="P398">
        <v>39.6</v>
      </c>
      <c r="Q398" t="s">
        <v>24</v>
      </c>
    </row>
    <row r="399" spans="1:17" ht="15">
      <c r="A399" t="s">
        <v>17</v>
      </c>
      <c r="B399" s="1">
        <v>41831</v>
      </c>
      <c r="C399" t="s">
        <v>858</v>
      </c>
      <c r="D399" t="str">
        <f>CONCATENATE("0040030799","")</f>
        <v>0040030799</v>
      </c>
      <c r="E399" t="str">
        <f>CONCATENATE("0060120064485       ","")</f>
        <v>0060120064485       </v>
      </c>
      <c r="F399" t="str">
        <f>CONCATENATE("2150538","")</f>
        <v>2150538</v>
      </c>
      <c r="G399" t="s">
        <v>889</v>
      </c>
      <c r="H399" t="s">
        <v>890</v>
      </c>
      <c r="I399" t="s">
        <v>891</v>
      </c>
      <c r="J399" t="str">
        <f t="shared" si="40"/>
        <v>080604</v>
      </c>
      <c r="K399" t="s">
        <v>22</v>
      </c>
      <c r="L399" t="s">
        <v>23</v>
      </c>
      <c r="M399" t="str">
        <f t="shared" si="41"/>
        <v>1</v>
      </c>
      <c r="O399" t="str">
        <f t="shared" si="42"/>
        <v>1 </v>
      </c>
      <c r="P399">
        <v>27.75</v>
      </c>
      <c r="Q399" t="s">
        <v>24</v>
      </c>
    </row>
    <row r="400" spans="1:17" ht="15">
      <c r="A400" t="s">
        <v>17</v>
      </c>
      <c r="B400" s="1">
        <v>41831</v>
      </c>
      <c r="C400" t="s">
        <v>858</v>
      </c>
      <c r="D400" t="str">
        <f>CONCATENATE("0040013293","")</f>
        <v>0040013293</v>
      </c>
      <c r="E400" t="str">
        <f>CONCATENATE("0060120080450       ","")</f>
        <v>0060120080450       </v>
      </c>
      <c r="F400" t="str">
        <f>CONCATENATE("605231197","")</f>
        <v>605231197</v>
      </c>
      <c r="G400" t="s">
        <v>892</v>
      </c>
      <c r="H400" t="s">
        <v>893</v>
      </c>
      <c r="I400" t="str">
        <f>CONCATENATE("28-DE-AGOSTO-C-01","")</f>
        <v>28-DE-AGOSTO-C-01</v>
      </c>
      <c r="J400" t="str">
        <f t="shared" si="40"/>
        <v>080604</v>
      </c>
      <c r="K400" t="s">
        <v>22</v>
      </c>
      <c r="L400" t="s">
        <v>23</v>
      </c>
      <c r="M400" t="str">
        <f t="shared" si="41"/>
        <v>1</v>
      </c>
      <c r="O400" t="str">
        <f t="shared" si="42"/>
        <v>1 </v>
      </c>
      <c r="P400">
        <v>38.65</v>
      </c>
      <c r="Q400" t="s">
        <v>24</v>
      </c>
    </row>
    <row r="401" spans="1:17" ht="15">
      <c r="A401" t="s">
        <v>17</v>
      </c>
      <c r="B401" s="1">
        <v>41831</v>
      </c>
      <c r="C401" t="s">
        <v>858</v>
      </c>
      <c r="D401" t="str">
        <f>CONCATENATE("0040018118","")</f>
        <v>0040018118</v>
      </c>
      <c r="E401" t="str">
        <f>CONCATENATE("0060120080900       ","")</f>
        <v>0060120080900       </v>
      </c>
      <c r="F401" t="str">
        <f>CONCATENATE("1427681","")</f>
        <v>1427681</v>
      </c>
      <c r="G401" t="s">
        <v>892</v>
      </c>
      <c r="H401" t="s">
        <v>894</v>
      </c>
      <c r="I401" t="s">
        <v>895</v>
      </c>
      <c r="J401" t="str">
        <f t="shared" si="40"/>
        <v>080604</v>
      </c>
      <c r="K401" t="s">
        <v>22</v>
      </c>
      <c r="L401" t="s">
        <v>23</v>
      </c>
      <c r="M401" t="str">
        <f t="shared" si="41"/>
        <v>1</v>
      </c>
      <c r="O401" t="str">
        <f t="shared" si="42"/>
        <v>1 </v>
      </c>
      <c r="P401">
        <v>174.5</v>
      </c>
      <c r="Q401" t="s">
        <v>24</v>
      </c>
    </row>
    <row r="402" spans="1:17" ht="15">
      <c r="A402" t="s">
        <v>17</v>
      </c>
      <c r="B402" s="1">
        <v>41831</v>
      </c>
      <c r="C402" t="s">
        <v>858</v>
      </c>
      <c r="D402" t="str">
        <f>CONCATENATE("0040020912","")</f>
        <v>0040020912</v>
      </c>
      <c r="E402" t="str">
        <f>CONCATENATE("0060120091330       ","")</f>
        <v>0060120091330       </v>
      </c>
      <c r="F402" t="str">
        <f>CONCATENATE("606036064","")</f>
        <v>606036064</v>
      </c>
      <c r="G402" t="s">
        <v>892</v>
      </c>
      <c r="H402" t="s">
        <v>896</v>
      </c>
      <c r="I402" t="s">
        <v>897</v>
      </c>
      <c r="J402" t="str">
        <f t="shared" si="40"/>
        <v>080604</v>
      </c>
      <c r="K402" t="s">
        <v>22</v>
      </c>
      <c r="L402" t="s">
        <v>23</v>
      </c>
      <c r="M402" t="str">
        <f t="shared" si="41"/>
        <v>1</v>
      </c>
      <c r="O402" t="str">
        <f t="shared" si="42"/>
        <v>1 </v>
      </c>
      <c r="P402">
        <v>11.5</v>
      </c>
      <c r="Q402" t="s">
        <v>24</v>
      </c>
    </row>
    <row r="403" spans="1:17" ht="15">
      <c r="A403" t="s">
        <v>17</v>
      </c>
      <c r="B403" s="1">
        <v>41831</v>
      </c>
      <c r="C403" t="s">
        <v>858</v>
      </c>
      <c r="D403" t="str">
        <f>CONCATENATE("0040020907","")</f>
        <v>0040020907</v>
      </c>
      <c r="E403" t="str">
        <f>CONCATENATE("0060120091430       ","")</f>
        <v>0060120091430       </v>
      </c>
      <c r="F403" t="str">
        <f>CONCATENATE("606036068","")</f>
        <v>606036068</v>
      </c>
      <c r="G403" t="s">
        <v>892</v>
      </c>
      <c r="H403" t="s">
        <v>898</v>
      </c>
      <c r="I403" t="s">
        <v>899</v>
      </c>
      <c r="J403" t="str">
        <f t="shared" si="40"/>
        <v>080604</v>
      </c>
      <c r="K403" t="s">
        <v>22</v>
      </c>
      <c r="L403" t="s">
        <v>23</v>
      </c>
      <c r="M403" t="str">
        <f t="shared" si="41"/>
        <v>1</v>
      </c>
      <c r="O403" t="str">
        <f t="shared" si="42"/>
        <v>1 </v>
      </c>
      <c r="P403">
        <v>76.3</v>
      </c>
      <c r="Q403" t="s">
        <v>24</v>
      </c>
    </row>
    <row r="404" spans="1:17" ht="15">
      <c r="A404" t="s">
        <v>17</v>
      </c>
      <c r="B404" s="1">
        <v>41831</v>
      </c>
      <c r="C404" t="s">
        <v>858</v>
      </c>
      <c r="D404" t="str">
        <f>CONCATENATE("0040020937","")</f>
        <v>0040020937</v>
      </c>
      <c r="E404" t="str">
        <f>CONCATENATE("0060120091580       ","")</f>
        <v>0060120091580       </v>
      </c>
      <c r="F404" t="str">
        <f>CONCATENATE("606036072","")</f>
        <v>606036072</v>
      </c>
      <c r="G404" t="s">
        <v>892</v>
      </c>
      <c r="H404" t="s">
        <v>900</v>
      </c>
      <c r="I404" t="s">
        <v>901</v>
      </c>
      <c r="J404" t="str">
        <f t="shared" si="40"/>
        <v>080604</v>
      </c>
      <c r="K404" t="s">
        <v>22</v>
      </c>
      <c r="L404" t="s">
        <v>23</v>
      </c>
      <c r="M404" t="str">
        <f t="shared" si="41"/>
        <v>1</v>
      </c>
      <c r="O404" t="str">
        <f t="shared" si="42"/>
        <v>1 </v>
      </c>
      <c r="P404">
        <v>11.4</v>
      </c>
      <c r="Q404" t="s">
        <v>24</v>
      </c>
    </row>
    <row r="405" spans="1:17" ht="15">
      <c r="A405" t="s">
        <v>17</v>
      </c>
      <c r="B405" s="1">
        <v>41831</v>
      </c>
      <c r="C405" t="s">
        <v>858</v>
      </c>
      <c r="D405" t="str">
        <f>CONCATENATE("0040020954","")</f>
        <v>0040020954</v>
      </c>
      <c r="E405" t="str">
        <f>CONCATENATE("0060120092050       ","")</f>
        <v>0060120092050       </v>
      </c>
      <c r="F405" t="str">
        <f>CONCATENATE("606032830","")</f>
        <v>606032830</v>
      </c>
      <c r="G405" t="s">
        <v>892</v>
      </c>
      <c r="H405" t="s">
        <v>902</v>
      </c>
      <c r="I405" t="s">
        <v>903</v>
      </c>
      <c r="J405" t="str">
        <f t="shared" si="40"/>
        <v>080604</v>
      </c>
      <c r="K405" t="s">
        <v>22</v>
      </c>
      <c r="L405" t="s">
        <v>23</v>
      </c>
      <c r="M405" t="str">
        <f t="shared" si="41"/>
        <v>1</v>
      </c>
      <c r="O405" t="str">
        <f>CONCATENATE("3 ","")</f>
        <v>3 </v>
      </c>
      <c r="P405">
        <v>23.15</v>
      </c>
      <c r="Q405" t="s">
        <v>24</v>
      </c>
    </row>
    <row r="406" spans="1:17" ht="15">
      <c r="A406" t="s">
        <v>17</v>
      </c>
      <c r="B406" s="1">
        <v>41831</v>
      </c>
      <c r="C406" t="s">
        <v>191</v>
      </c>
      <c r="D406" t="str">
        <f>CONCATENATE("0040009661","")</f>
        <v>0040009661</v>
      </c>
      <c r="E406" t="str">
        <f>CONCATENATE("0060122000029       ","")</f>
        <v>0060122000029       </v>
      </c>
      <c r="F406" t="str">
        <f>CONCATENATE("605284355","")</f>
        <v>605284355</v>
      </c>
      <c r="G406" t="s">
        <v>838</v>
      </c>
      <c r="H406" t="s">
        <v>904</v>
      </c>
      <c r="I406" t="s">
        <v>905</v>
      </c>
      <c r="J406" t="str">
        <f aca="true" t="shared" si="43" ref="J406:J437">CONCATENATE("080601","")</f>
        <v>080601</v>
      </c>
      <c r="K406" t="s">
        <v>22</v>
      </c>
      <c r="L406" t="s">
        <v>23</v>
      </c>
      <c r="M406" t="str">
        <f t="shared" si="41"/>
        <v>1</v>
      </c>
      <c r="O406" t="str">
        <f aca="true" t="shared" si="44" ref="O406:O413">CONCATENATE("1 ","")</f>
        <v>1 </v>
      </c>
      <c r="P406">
        <v>68.5</v>
      </c>
      <c r="Q406" t="s">
        <v>24</v>
      </c>
    </row>
    <row r="407" spans="1:17" ht="15">
      <c r="A407" t="s">
        <v>17</v>
      </c>
      <c r="B407" s="1">
        <v>41831</v>
      </c>
      <c r="C407" t="s">
        <v>191</v>
      </c>
      <c r="D407" t="str">
        <f>CONCATENATE("0040004697","")</f>
        <v>0040004697</v>
      </c>
      <c r="E407" t="str">
        <f>CONCATENATE("0060122000120       ","")</f>
        <v>0060122000120       </v>
      </c>
      <c r="F407" t="str">
        <f>CONCATENATE("1941215","")</f>
        <v>1941215</v>
      </c>
      <c r="G407" t="s">
        <v>838</v>
      </c>
      <c r="H407" t="s">
        <v>906</v>
      </c>
      <c r="I407" t="s">
        <v>907</v>
      </c>
      <c r="J407" t="str">
        <f t="shared" si="43"/>
        <v>080601</v>
      </c>
      <c r="K407" t="s">
        <v>22</v>
      </c>
      <c r="L407" t="s">
        <v>23</v>
      </c>
      <c r="M407" t="str">
        <f t="shared" si="41"/>
        <v>1</v>
      </c>
      <c r="O407" t="str">
        <f t="shared" si="44"/>
        <v>1 </v>
      </c>
      <c r="P407">
        <v>100.45</v>
      </c>
      <c r="Q407" t="s">
        <v>24</v>
      </c>
    </row>
    <row r="408" spans="1:17" ht="15">
      <c r="A408" t="s">
        <v>17</v>
      </c>
      <c r="B408" s="1">
        <v>41831</v>
      </c>
      <c r="C408" t="s">
        <v>191</v>
      </c>
      <c r="D408" t="str">
        <f>CONCATENATE("0040018617","")</f>
        <v>0040018617</v>
      </c>
      <c r="E408" t="str">
        <f>CONCATENATE("0060122000159       ","")</f>
        <v>0060122000159       </v>
      </c>
      <c r="F408" t="str">
        <f>CONCATENATE("605289997","")</f>
        <v>605289997</v>
      </c>
      <c r="G408" t="s">
        <v>838</v>
      </c>
      <c r="H408" t="s">
        <v>908</v>
      </c>
      <c r="I408" t="s">
        <v>909</v>
      </c>
      <c r="J408" t="str">
        <f t="shared" si="43"/>
        <v>080601</v>
      </c>
      <c r="K408" t="s">
        <v>22</v>
      </c>
      <c r="L408" t="s">
        <v>23</v>
      </c>
      <c r="M408" t="str">
        <f t="shared" si="41"/>
        <v>1</v>
      </c>
      <c r="O408" t="str">
        <f t="shared" si="44"/>
        <v>1 </v>
      </c>
      <c r="P408">
        <v>55.7</v>
      </c>
      <c r="Q408" t="s">
        <v>24</v>
      </c>
    </row>
    <row r="409" spans="1:17" ht="15">
      <c r="A409" t="s">
        <v>17</v>
      </c>
      <c r="B409" s="1">
        <v>41831</v>
      </c>
      <c r="C409" t="s">
        <v>191</v>
      </c>
      <c r="D409" t="str">
        <f>CONCATENATE("0040004714","")</f>
        <v>0040004714</v>
      </c>
      <c r="E409" t="str">
        <f>CONCATENATE("0060122000180       ","")</f>
        <v>0060122000180       </v>
      </c>
      <c r="F409" t="str">
        <f>CONCATENATE("605119771","")</f>
        <v>605119771</v>
      </c>
      <c r="G409" t="s">
        <v>910</v>
      </c>
      <c r="H409" t="s">
        <v>911</v>
      </c>
      <c r="I409" t="s">
        <v>912</v>
      </c>
      <c r="J409" t="str">
        <f t="shared" si="43"/>
        <v>080601</v>
      </c>
      <c r="K409" t="s">
        <v>22</v>
      </c>
      <c r="L409" t="s">
        <v>23</v>
      </c>
      <c r="M409" t="str">
        <f t="shared" si="41"/>
        <v>1</v>
      </c>
      <c r="O409" t="str">
        <f t="shared" si="44"/>
        <v>1 </v>
      </c>
      <c r="P409">
        <v>82.1</v>
      </c>
      <c r="Q409" t="s">
        <v>24</v>
      </c>
    </row>
    <row r="410" spans="1:17" ht="15">
      <c r="A410" t="s">
        <v>17</v>
      </c>
      <c r="B410" s="1">
        <v>41831</v>
      </c>
      <c r="C410" t="s">
        <v>191</v>
      </c>
      <c r="D410" t="str">
        <f>CONCATENATE("0040012920","")</f>
        <v>0040012920</v>
      </c>
      <c r="E410" t="str">
        <f>CONCATENATE("0060122000197       ","")</f>
        <v>0060122000197       </v>
      </c>
      <c r="F410" t="str">
        <f>CONCATENATE("01145709","")</f>
        <v>01145709</v>
      </c>
      <c r="G410" t="s">
        <v>910</v>
      </c>
      <c r="H410" t="s">
        <v>913</v>
      </c>
      <c r="I410" t="s">
        <v>914</v>
      </c>
      <c r="J410" t="str">
        <f t="shared" si="43"/>
        <v>080601</v>
      </c>
      <c r="K410" t="s">
        <v>22</v>
      </c>
      <c r="L410" t="s">
        <v>23</v>
      </c>
      <c r="M410" t="str">
        <f t="shared" si="41"/>
        <v>1</v>
      </c>
      <c r="O410" t="str">
        <f t="shared" si="44"/>
        <v>1 </v>
      </c>
      <c r="P410">
        <v>52.6</v>
      </c>
      <c r="Q410" t="s">
        <v>24</v>
      </c>
    </row>
    <row r="411" spans="1:17" ht="15">
      <c r="A411" t="s">
        <v>17</v>
      </c>
      <c r="B411" s="1">
        <v>41831</v>
      </c>
      <c r="C411" t="s">
        <v>191</v>
      </c>
      <c r="D411" t="str">
        <f>CONCATENATE("0040018930","")</f>
        <v>0040018930</v>
      </c>
      <c r="E411" t="str">
        <f>CONCATENATE("0060122000209       ","")</f>
        <v>0060122000209       </v>
      </c>
      <c r="F411" t="str">
        <f>CONCATENATE("605396322","")</f>
        <v>605396322</v>
      </c>
      <c r="G411" t="s">
        <v>910</v>
      </c>
      <c r="H411" t="s">
        <v>915</v>
      </c>
      <c r="I411" t="s">
        <v>916</v>
      </c>
      <c r="J411" t="str">
        <f t="shared" si="43"/>
        <v>080601</v>
      </c>
      <c r="K411" t="s">
        <v>22</v>
      </c>
      <c r="L411" t="s">
        <v>23</v>
      </c>
      <c r="M411" t="str">
        <f t="shared" si="41"/>
        <v>1</v>
      </c>
      <c r="O411" t="str">
        <f t="shared" si="44"/>
        <v>1 </v>
      </c>
      <c r="P411">
        <v>53.25</v>
      </c>
      <c r="Q411" t="s">
        <v>24</v>
      </c>
    </row>
    <row r="412" spans="1:17" ht="15">
      <c r="A412" t="s">
        <v>17</v>
      </c>
      <c r="B412" s="1">
        <v>41831</v>
      </c>
      <c r="C412" t="s">
        <v>191</v>
      </c>
      <c r="D412" t="str">
        <f>CONCATENATE("0040013592","")</f>
        <v>0040013592</v>
      </c>
      <c r="E412" t="str">
        <f>CONCATENATE("0060122000301       ","")</f>
        <v>0060122000301       </v>
      </c>
      <c r="F412" t="str">
        <f>CONCATENATE("1257256","")</f>
        <v>1257256</v>
      </c>
      <c r="G412" t="s">
        <v>910</v>
      </c>
      <c r="H412" t="s">
        <v>917</v>
      </c>
      <c r="I412" t="s">
        <v>918</v>
      </c>
      <c r="J412" t="str">
        <f t="shared" si="43"/>
        <v>080601</v>
      </c>
      <c r="K412" t="s">
        <v>22</v>
      </c>
      <c r="L412" t="s">
        <v>23</v>
      </c>
      <c r="M412" t="str">
        <f>CONCATENATE("3","")</f>
        <v>3</v>
      </c>
      <c r="O412" t="str">
        <f t="shared" si="44"/>
        <v>1 </v>
      </c>
      <c r="P412">
        <v>244.2</v>
      </c>
      <c r="Q412" t="s">
        <v>326</v>
      </c>
    </row>
    <row r="413" spans="1:17" ht="15">
      <c r="A413" t="s">
        <v>17</v>
      </c>
      <c r="B413" s="1">
        <v>41831</v>
      </c>
      <c r="C413" t="s">
        <v>191</v>
      </c>
      <c r="D413" t="str">
        <f>CONCATENATE("0040028421","")</f>
        <v>0040028421</v>
      </c>
      <c r="E413" t="str">
        <f>CONCATENATE("0060122000361       ","")</f>
        <v>0060122000361       </v>
      </c>
      <c r="F413" t="str">
        <f>CONCATENATE("2128299","")</f>
        <v>2128299</v>
      </c>
      <c r="G413" t="s">
        <v>910</v>
      </c>
      <c r="H413" t="s">
        <v>919</v>
      </c>
      <c r="I413" t="s">
        <v>920</v>
      </c>
      <c r="J413" t="str">
        <f t="shared" si="43"/>
        <v>080601</v>
      </c>
      <c r="K413" t="s">
        <v>22</v>
      </c>
      <c r="L413" t="s">
        <v>23</v>
      </c>
      <c r="M413" t="str">
        <f aca="true" t="shared" si="45" ref="M413:M454">CONCATENATE("1","")</f>
        <v>1</v>
      </c>
      <c r="O413" t="str">
        <f t="shared" si="44"/>
        <v>1 </v>
      </c>
      <c r="P413">
        <v>31.85</v>
      </c>
      <c r="Q413" t="s">
        <v>24</v>
      </c>
    </row>
    <row r="414" spans="1:17" ht="15">
      <c r="A414" t="s">
        <v>17</v>
      </c>
      <c r="B414" s="1">
        <v>41831</v>
      </c>
      <c r="C414" t="s">
        <v>191</v>
      </c>
      <c r="D414" t="str">
        <f>CONCATENATE("0040004767","")</f>
        <v>0040004767</v>
      </c>
      <c r="E414" t="str">
        <f>CONCATENATE("0060122000382       ","")</f>
        <v>0060122000382       </v>
      </c>
      <c r="F414" t="str">
        <f>CONCATENATE("605055899","")</f>
        <v>605055899</v>
      </c>
      <c r="G414" t="s">
        <v>910</v>
      </c>
      <c r="H414" t="s">
        <v>921</v>
      </c>
      <c r="I414" t="s">
        <v>922</v>
      </c>
      <c r="J414" t="str">
        <f t="shared" si="43"/>
        <v>080601</v>
      </c>
      <c r="K414" t="s">
        <v>22</v>
      </c>
      <c r="L414" t="s">
        <v>23</v>
      </c>
      <c r="M414" t="str">
        <f t="shared" si="45"/>
        <v>1</v>
      </c>
      <c r="O414" t="str">
        <f>CONCATENATE("2 ","")</f>
        <v>2 </v>
      </c>
      <c r="P414">
        <v>22.05</v>
      </c>
      <c r="Q414" t="s">
        <v>24</v>
      </c>
    </row>
    <row r="415" spans="1:17" ht="15">
      <c r="A415" t="s">
        <v>17</v>
      </c>
      <c r="B415" s="1">
        <v>41831</v>
      </c>
      <c r="C415" t="s">
        <v>191</v>
      </c>
      <c r="D415" t="str">
        <f>CONCATENATE("0040010092","")</f>
        <v>0040010092</v>
      </c>
      <c r="E415" t="str">
        <f>CONCATENATE("0060122000409       ","")</f>
        <v>0060122000409       </v>
      </c>
      <c r="F415" t="str">
        <f>CONCATENATE("605120747","")</f>
        <v>605120747</v>
      </c>
      <c r="G415" t="s">
        <v>835</v>
      </c>
      <c r="H415" t="s">
        <v>923</v>
      </c>
      <c r="I415" t="s">
        <v>924</v>
      </c>
      <c r="J415" t="str">
        <f t="shared" si="43"/>
        <v>080601</v>
      </c>
      <c r="K415" t="s">
        <v>22</v>
      </c>
      <c r="L415" t="s">
        <v>23</v>
      </c>
      <c r="M415" t="str">
        <f t="shared" si="45"/>
        <v>1</v>
      </c>
      <c r="O415" t="str">
        <f aca="true" t="shared" si="46" ref="O415:O448">CONCATENATE("1 ","")</f>
        <v>1 </v>
      </c>
      <c r="P415">
        <v>27.45</v>
      </c>
      <c r="Q415" t="s">
        <v>24</v>
      </c>
    </row>
    <row r="416" spans="1:17" ht="15">
      <c r="A416" t="s">
        <v>17</v>
      </c>
      <c r="B416" s="1">
        <v>41831</v>
      </c>
      <c r="C416" t="s">
        <v>191</v>
      </c>
      <c r="D416" t="str">
        <f>CONCATENATE("0040004811","")</f>
        <v>0040004811</v>
      </c>
      <c r="E416" t="str">
        <f>CONCATENATE("0060122000580       ","")</f>
        <v>0060122000580       </v>
      </c>
      <c r="F416" t="str">
        <f>CONCATENATE("0605349524","")</f>
        <v>0605349524</v>
      </c>
      <c r="G416" t="s">
        <v>838</v>
      </c>
      <c r="H416" t="s">
        <v>925</v>
      </c>
      <c r="I416" t="s">
        <v>926</v>
      </c>
      <c r="J416" t="str">
        <f t="shared" si="43"/>
        <v>080601</v>
      </c>
      <c r="K416" t="s">
        <v>22</v>
      </c>
      <c r="L416" t="s">
        <v>23</v>
      </c>
      <c r="M416" t="str">
        <f t="shared" si="45"/>
        <v>1</v>
      </c>
      <c r="O416" t="str">
        <f t="shared" si="46"/>
        <v>1 </v>
      </c>
      <c r="P416">
        <v>10.55</v>
      </c>
      <c r="Q416" t="s">
        <v>24</v>
      </c>
    </row>
    <row r="417" spans="1:17" ht="15">
      <c r="A417" t="s">
        <v>17</v>
      </c>
      <c r="B417" s="1">
        <v>41831</v>
      </c>
      <c r="C417" t="s">
        <v>191</v>
      </c>
      <c r="D417" t="str">
        <f>CONCATENATE("0040035067","")</f>
        <v>0040035067</v>
      </c>
      <c r="E417" t="str">
        <f>CONCATENATE("0060122000704       ","")</f>
        <v>0060122000704       </v>
      </c>
      <c r="F417" t="str">
        <f>CONCATENATE("01944611","")</f>
        <v>01944611</v>
      </c>
      <c r="G417" t="s">
        <v>838</v>
      </c>
      <c r="H417" t="s">
        <v>927</v>
      </c>
      <c r="I417" t="s">
        <v>928</v>
      </c>
      <c r="J417" t="str">
        <f t="shared" si="43"/>
        <v>080601</v>
      </c>
      <c r="K417" t="s">
        <v>22</v>
      </c>
      <c r="L417" t="s">
        <v>23</v>
      </c>
      <c r="M417" t="str">
        <f t="shared" si="45"/>
        <v>1</v>
      </c>
      <c r="O417" t="str">
        <f t="shared" si="46"/>
        <v>1 </v>
      </c>
      <c r="P417">
        <v>9.55</v>
      </c>
      <c r="Q417" t="s">
        <v>24</v>
      </c>
    </row>
    <row r="418" spans="1:17" ht="15">
      <c r="A418" t="s">
        <v>17</v>
      </c>
      <c r="B418" s="1">
        <v>41831</v>
      </c>
      <c r="C418" t="s">
        <v>191</v>
      </c>
      <c r="D418" t="str">
        <f>CONCATENATE("0040007617","")</f>
        <v>0040007617</v>
      </c>
      <c r="E418" t="str">
        <f>CONCATENATE("0060122000715       ","")</f>
        <v>0060122000715       </v>
      </c>
      <c r="F418" t="str">
        <f>CONCATENATE("605628417","")</f>
        <v>605628417</v>
      </c>
      <c r="G418" t="s">
        <v>838</v>
      </c>
      <c r="H418" t="s">
        <v>929</v>
      </c>
      <c r="I418" t="s">
        <v>930</v>
      </c>
      <c r="J418" t="str">
        <f t="shared" si="43"/>
        <v>080601</v>
      </c>
      <c r="K418" t="s">
        <v>22</v>
      </c>
      <c r="L418" t="s">
        <v>23</v>
      </c>
      <c r="M418" t="str">
        <f t="shared" si="45"/>
        <v>1</v>
      </c>
      <c r="O418" t="str">
        <f t="shared" si="46"/>
        <v>1 </v>
      </c>
      <c r="P418">
        <v>42.15</v>
      </c>
      <c r="Q418" t="s">
        <v>24</v>
      </c>
    </row>
    <row r="419" spans="1:17" ht="15">
      <c r="A419" t="s">
        <v>17</v>
      </c>
      <c r="B419" s="1">
        <v>41831</v>
      </c>
      <c r="C419" t="s">
        <v>191</v>
      </c>
      <c r="D419" t="str">
        <f>CONCATENATE("0040004853","")</f>
        <v>0040004853</v>
      </c>
      <c r="E419" t="str">
        <f>CONCATENATE("0060122000749       ","")</f>
        <v>0060122000749       </v>
      </c>
      <c r="F419" t="str">
        <f>CONCATENATE("605055828","")</f>
        <v>605055828</v>
      </c>
      <c r="G419" t="s">
        <v>910</v>
      </c>
      <c r="H419" t="s">
        <v>931</v>
      </c>
      <c r="I419" t="s">
        <v>932</v>
      </c>
      <c r="J419" t="str">
        <f t="shared" si="43"/>
        <v>080601</v>
      </c>
      <c r="K419" t="s">
        <v>22</v>
      </c>
      <c r="L419" t="s">
        <v>23</v>
      </c>
      <c r="M419" t="str">
        <f t="shared" si="45"/>
        <v>1</v>
      </c>
      <c r="O419" t="str">
        <f t="shared" si="46"/>
        <v>1 </v>
      </c>
      <c r="P419">
        <v>34.15</v>
      </c>
      <c r="Q419" t="s">
        <v>24</v>
      </c>
    </row>
    <row r="420" spans="1:17" ht="15">
      <c r="A420" t="s">
        <v>17</v>
      </c>
      <c r="B420" s="1">
        <v>41831</v>
      </c>
      <c r="C420" t="s">
        <v>191</v>
      </c>
      <c r="D420" t="str">
        <f>CONCATENATE("0040012275","")</f>
        <v>0040012275</v>
      </c>
      <c r="E420" t="str">
        <f>CONCATENATE("0060123000041       ","")</f>
        <v>0060123000041       </v>
      </c>
      <c r="F420" t="str">
        <f>CONCATENATE("605284347","")</f>
        <v>605284347</v>
      </c>
      <c r="G420" t="s">
        <v>910</v>
      </c>
      <c r="H420" t="s">
        <v>933</v>
      </c>
      <c r="I420" t="s">
        <v>934</v>
      </c>
      <c r="J420" t="str">
        <f t="shared" si="43"/>
        <v>080601</v>
      </c>
      <c r="K420" t="s">
        <v>22</v>
      </c>
      <c r="L420" t="s">
        <v>23</v>
      </c>
      <c r="M420" t="str">
        <f t="shared" si="45"/>
        <v>1</v>
      </c>
      <c r="O420" t="str">
        <f t="shared" si="46"/>
        <v>1 </v>
      </c>
      <c r="P420">
        <v>114</v>
      </c>
      <c r="Q420" t="s">
        <v>24</v>
      </c>
    </row>
    <row r="421" spans="1:17" ht="15">
      <c r="A421" t="s">
        <v>17</v>
      </c>
      <c r="B421" s="1">
        <v>41831</v>
      </c>
      <c r="C421" t="s">
        <v>191</v>
      </c>
      <c r="D421" t="str">
        <f>CONCATENATE("0040004889","")</f>
        <v>0040004889</v>
      </c>
      <c r="E421" t="str">
        <f>CONCATENATE("0060123000090       ","")</f>
        <v>0060123000090       </v>
      </c>
      <c r="F421" t="str">
        <f>CONCATENATE("605054657","")</f>
        <v>605054657</v>
      </c>
      <c r="G421" t="s">
        <v>910</v>
      </c>
      <c r="H421" t="s">
        <v>935</v>
      </c>
      <c r="I421" t="s">
        <v>936</v>
      </c>
      <c r="J421" t="str">
        <f t="shared" si="43"/>
        <v>080601</v>
      </c>
      <c r="K421" t="s">
        <v>22</v>
      </c>
      <c r="L421" t="s">
        <v>23</v>
      </c>
      <c r="M421" t="str">
        <f t="shared" si="45"/>
        <v>1</v>
      </c>
      <c r="O421" t="str">
        <f t="shared" si="46"/>
        <v>1 </v>
      </c>
      <c r="P421">
        <v>12.8</v>
      </c>
      <c r="Q421" t="s">
        <v>24</v>
      </c>
    </row>
    <row r="422" spans="1:17" ht="15">
      <c r="A422" t="s">
        <v>17</v>
      </c>
      <c r="B422" s="1">
        <v>41831</v>
      </c>
      <c r="C422" t="s">
        <v>191</v>
      </c>
      <c r="D422" t="str">
        <f>CONCATENATE("0040004892","")</f>
        <v>0040004892</v>
      </c>
      <c r="E422" t="str">
        <f>CONCATENATE("0060123000110       ","")</f>
        <v>0060123000110       </v>
      </c>
      <c r="F422" t="str">
        <f>CONCATENATE("2184878","")</f>
        <v>2184878</v>
      </c>
      <c r="G422" t="s">
        <v>937</v>
      </c>
      <c r="H422" t="s">
        <v>938</v>
      </c>
      <c r="I422" t="s">
        <v>939</v>
      </c>
      <c r="J422" t="str">
        <f t="shared" si="43"/>
        <v>080601</v>
      </c>
      <c r="K422" t="s">
        <v>22</v>
      </c>
      <c r="L422" t="s">
        <v>23</v>
      </c>
      <c r="M422" t="str">
        <f t="shared" si="45"/>
        <v>1</v>
      </c>
      <c r="O422" t="str">
        <f t="shared" si="46"/>
        <v>1 </v>
      </c>
      <c r="P422">
        <v>15.7</v>
      </c>
      <c r="Q422" t="s">
        <v>24</v>
      </c>
    </row>
    <row r="423" spans="1:17" ht="15">
      <c r="A423" t="s">
        <v>17</v>
      </c>
      <c r="B423" s="1">
        <v>41831</v>
      </c>
      <c r="C423" t="s">
        <v>191</v>
      </c>
      <c r="D423" t="str">
        <f>CONCATENATE("0040022871","")</f>
        <v>0040022871</v>
      </c>
      <c r="E423" t="str">
        <f>CONCATENATE("0060124000034       ","")</f>
        <v>0060124000034       </v>
      </c>
      <c r="F423" t="str">
        <f>CONCATENATE("1677001","")</f>
        <v>1677001</v>
      </c>
      <c r="G423" t="s">
        <v>937</v>
      </c>
      <c r="H423" t="s">
        <v>940</v>
      </c>
      <c r="I423" t="s">
        <v>941</v>
      </c>
      <c r="J423" t="str">
        <f t="shared" si="43"/>
        <v>080601</v>
      </c>
      <c r="K423" t="s">
        <v>22</v>
      </c>
      <c r="L423" t="s">
        <v>23</v>
      </c>
      <c r="M423" t="str">
        <f t="shared" si="45"/>
        <v>1</v>
      </c>
      <c r="O423" t="str">
        <f t="shared" si="46"/>
        <v>1 </v>
      </c>
      <c r="P423">
        <v>21.95</v>
      </c>
      <c r="Q423" t="s">
        <v>24</v>
      </c>
    </row>
    <row r="424" spans="1:17" ht="15">
      <c r="A424" t="s">
        <v>17</v>
      </c>
      <c r="B424" s="1">
        <v>41831</v>
      </c>
      <c r="C424" t="s">
        <v>191</v>
      </c>
      <c r="D424" t="str">
        <f>CONCATENATE("0040013747","")</f>
        <v>0040013747</v>
      </c>
      <c r="E424" t="str">
        <f>CONCATENATE("0060124000055       ","")</f>
        <v>0060124000055       </v>
      </c>
      <c r="F424" t="str">
        <f>CONCATENATE("02041045","")</f>
        <v>02041045</v>
      </c>
      <c r="G424" t="s">
        <v>937</v>
      </c>
      <c r="H424" t="s">
        <v>942</v>
      </c>
      <c r="I424" t="s">
        <v>943</v>
      </c>
      <c r="J424" t="str">
        <f t="shared" si="43"/>
        <v>080601</v>
      </c>
      <c r="K424" t="s">
        <v>22</v>
      </c>
      <c r="L424" t="s">
        <v>23</v>
      </c>
      <c r="M424" t="str">
        <f t="shared" si="45"/>
        <v>1</v>
      </c>
      <c r="O424" t="str">
        <f t="shared" si="46"/>
        <v>1 </v>
      </c>
      <c r="P424">
        <v>115.2</v>
      </c>
      <c r="Q424" t="s">
        <v>24</v>
      </c>
    </row>
    <row r="425" spans="1:17" ht="15">
      <c r="A425" t="s">
        <v>17</v>
      </c>
      <c r="B425" s="1">
        <v>41831</v>
      </c>
      <c r="C425" t="s">
        <v>191</v>
      </c>
      <c r="D425" t="str">
        <f>CONCATENATE("0040013511","")</f>
        <v>0040013511</v>
      </c>
      <c r="E425" t="str">
        <f>CONCATENATE("0060124000102       ","")</f>
        <v>0060124000102       </v>
      </c>
      <c r="F425" t="str">
        <f>CONCATENATE("01166128","")</f>
        <v>01166128</v>
      </c>
      <c r="G425" t="s">
        <v>937</v>
      </c>
      <c r="H425" t="s">
        <v>944</v>
      </c>
      <c r="I425" t="s">
        <v>945</v>
      </c>
      <c r="J425" t="str">
        <f t="shared" si="43"/>
        <v>080601</v>
      </c>
      <c r="K425" t="s">
        <v>22</v>
      </c>
      <c r="L425" t="s">
        <v>23</v>
      </c>
      <c r="M425" t="str">
        <f t="shared" si="45"/>
        <v>1</v>
      </c>
      <c r="O425" t="str">
        <f t="shared" si="46"/>
        <v>1 </v>
      </c>
      <c r="P425">
        <v>47.1</v>
      </c>
      <c r="Q425" t="s">
        <v>24</v>
      </c>
    </row>
    <row r="426" spans="1:17" ht="15">
      <c r="A426" t="s">
        <v>17</v>
      </c>
      <c r="B426" s="1">
        <v>41831</v>
      </c>
      <c r="C426" t="s">
        <v>191</v>
      </c>
      <c r="D426" t="str">
        <f>CONCATENATE("0040009315","")</f>
        <v>0040009315</v>
      </c>
      <c r="E426" t="str">
        <f>CONCATENATE("0060124000310       ","")</f>
        <v>0060124000310       </v>
      </c>
      <c r="F426" t="str">
        <f>CONCATENATE("0605349655","")</f>
        <v>0605349655</v>
      </c>
      <c r="G426" t="s">
        <v>937</v>
      </c>
      <c r="H426" t="s">
        <v>946</v>
      </c>
      <c r="I426" t="s">
        <v>947</v>
      </c>
      <c r="J426" t="str">
        <f t="shared" si="43"/>
        <v>080601</v>
      </c>
      <c r="K426" t="s">
        <v>22</v>
      </c>
      <c r="L426" t="s">
        <v>23</v>
      </c>
      <c r="M426" t="str">
        <f t="shared" si="45"/>
        <v>1</v>
      </c>
      <c r="O426" t="str">
        <f t="shared" si="46"/>
        <v>1 </v>
      </c>
      <c r="P426">
        <v>19</v>
      </c>
      <c r="Q426" t="s">
        <v>24</v>
      </c>
    </row>
    <row r="427" spans="1:17" ht="15">
      <c r="A427" t="s">
        <v>17</v>
      </c>
      <c r="B427" s="1">
        <v>41831</v>
      </c>
      <c r="C427" t="s">
        <v>191</v>
      </c>
      <c r="D427" t="str">
        <f>CONCATENATE("0040027870","")</f>
        <v>0040027870</v>
      </c>
      <c r="E427" t="str">
        <f>CONCATENATE("0060124000331       ","")</f>
        <v>0060124000331       </v>
      </c>
      <c r="F427" t="str">
        <f>CONCATENATE("2125159","")</f>
        <v>2125159</v>
      </c>
      <c r="G427" t="s">
        <v>937</v>
      </c>
      <c r="H427" t="s">
        <v>948</v>
      </c>
      <c r="I427" t="s">
        <v>949</v>
      </c>
      <c r="J427" t="str">
        <f t="shared" si="43"/>
        <v>080601</v>
      </c>
      <c r="K427" t="s">
        <v>22</v>
      </c>
      <c r="L427" t="s">
        <v>23</v>
      </c>
      <c r="M427" t="str">
        <f t="shared" si="45"/>
        <v>1</v>
      </c>
      <c r="O427" t="str">
        <f t="shared" si="46"/>
        <v>1 </v>
      </c>
      <c r="P427">
        <v>49.5</v>
      </c>
      <c r="Q427" t="s">
        <v>24</v>
      </c>
    </row>
    <row r="428" spans="1:17" ht="15">
      <c r="A428" t="s">
        <v>17</v>
      </c>
      <c r="B428" s="1">
        <v>41831</v>
      </c>
      <c r="C428" t="s">
        <v>191</v>
      </c>
      <c r="D428" t="str">
        <f>CONCATENATE("0040026706","")</f>
        <v>0040026706</v>
      </c>
      <c r="E428" t="str">
        <f>CONCATENATE("0060124002243       ","")</f>
        <v>0060124002243       </v>
      </c>
      <c r="F428" t="str">
        <f>CONCATENATE("2129443","")</f>
        <v>2129443</v>
      </c>
      <c r="G428" t="s">
        <v>937</v>
      </c>
      <c r="H428" t="s">
        <v>950</v>
      </c>
      <c r="I428" t="s">
        <v>951</v>
      </c>
      <c r="J428" t="str">
        <f t="shared" si="43"/>
        <v>080601</v>
      </c>
      <c r="K428" t="s">
        <v>22</v>
      </c>
      <c r="L428" t="s">
        <v>23</v>
      </c>
      <c r="M428" t="str">
        <f t="shared" si="45"/>
        <v>1</v>
      </c>
      <c r="O428" t="str">
        <f t="shared" si="46"/>
        <v>1 </v>
      </c>
      <c r="P428">
        <v>31.35</v>
      </c>
      <c r="Q428" t="s">
        <v>24</v>
      </c>
    </row>
    <row r="429" spans="1:17" ht="15">
      <c r="A429" t="s">
        <v>17</v>
      </c>
      <c r="B429" s="1">
        <v>41831</v>
      </c>
      <c r="C429" t="s">
        <v>191</v>
      </c>
      <c r="D429" t="str">
        <f>CONCATENATE("0040007788","")</f>
        <v>0040007788</v>
      </c>
      <c r="E429" t="str">
        <f>CONCATENATE("0060125000145       ","")</f>
        <v>0060125000145       </v>
      </c>
      <c r="F429" t="str">
        <f>CONCATENATE("24090","")</f>
        <v>24090</v>
      </c>
      <c r="G429" t="s">
        <v>952</v>
      </c>
      <c r="H429" t="s">
        <v>953</v>
      </c>
      <c r="I429" t="s">
        <v>954</v>
      </c>
      <c r="J429" t="str">
        <f t="shared" si="43"/>
        <v>080601</v>
      </c>
      <c r="K429" t="s">
        <v>22</v>
      </c>
      <c r="L429" t="s">
        <v>23</v>
      </c>
      <c r="M429" t="str">
        <f t="shared" si="45"/>
        <v>1</v>
      </c>
      <c r="O429" t="str">
        <f t="shared" si="46"/>
        <v>1 </v>
      </c>
      <c r="P429">
        <v>42.15</v>
      </c>
      <c r="Q429" t="s">
        <v>24</v>
      </c>
    </row>
    <row r="430" spans="1:17" ht="15">
      <c r="A430" t="s">
        <v>17</v>
      </c>
      <c r="B430" s="1">
        <v>41831</v>
      </c>
      <c r="C430" t="s">
        <v>191</v>
      </c>
      <c r="D430" t="str">
        <f>CONCATENATE("0040013917","")</f>
        <v>0040013917</v>
      </c>
      <c r="E430" t="str">
        <f>CONCATENATE("0060125000218       ","")</f>
        <v>0060125000218       </v>
      </c>
      <c r="F430" t="str">
        <f>CONCATENATE("605054726","")</f>
        <v>605054726</v>
      </c>
      <c r="G430" t="s">
        <v>952</v>
      </c>
      <c r="H430" t="s">
        <v>955</v>
      </c>
      <c r="I430" t="s">
        <v>956</v>
      </c>
      <c r="J430" t="str">
        <f t="shared" si="43"/>
        <v>080601</v>
      </c>
      <c r="K430" t="s">
        <v>22</v>
      </c>
      <c r="L430" t="s">
        <v>23</v>
      </c>
      <c r="M430" t="str">
        <f t="shared" si="45"/>
        <v>1</v>
      </c>
      <c r="O430" t="str">
        <f t="shared" si="46"/>
        <v>1 </v>
      </c>
      <c r="P430">
        <v>36.6</v>
      </c>
      <c r="Q430" t="s">
        <v>24</v>
      </c>
    </row>
    <row r="431" spans="1:17" ht="15">
      <c r="A431" t="s">
        <v>17</v>
      </c>
      <c r="B431" s="1">
        <v>41831</v>
      </c>
      <c r="C431" t="s">
        <v>191</v>
      </c>
      <c r="D431" t="str">
        <f>CONCATENATE("0040009626","")</f>
        <v>0040009626</v>
      </c>
      <c r="E431" t="str">
        <f>CONCATENATE("0060125001520       ","")</f>
        <v>0060125001520       </v>
      </c>
      <c r="F431" t="str">
        <f>CONCATENATE("00007420104","")</f>
        <v>00007420104</v>
      </c>
      <c r="G431" t="s">
        <v>952</v>
      </c>
      <c r="H431" t="s">
        <v>957</v>
      </c>
      <c r="I431" t="s">
        <v>958</v>
      </c>
      <c r="J431" t="str">
        <f t="shared" si="43"/>
        <v>080601</v>
      </c>
      <c r="K431" t="s">
        <v>22</v>
      </c>
      <c r="L431" t="s">
        <v>23</v>
      </c>
      <c r="M431" t="str">
        <f t="shared" si="45"/>
        <v>1</v>
      </c>
      <c r="O431" t="str">
        <f t="shared" si="46"/>
        <v>1 </v>
      </c>
      <c r="P431">
        <v>10.35</v>
      </c>
      <c r="Q431" t="s">
        <v>24</v>
      </c>
    </row>
    <row r="432" spans="1:17" ht="15">
      <c r="A432" t="s">
        <v>17</v>
      </c>
      <c r="B432" s="1">
        <v>41831</v>
      </c>
      <c r="C432" t="s">
        <v>191</v>
      </c>
      <c r="D432" t="str">
        <f>CONCATENATE("0040005015","")</f>
        <v>0040005015</v>
      </c>
      <c r="E432" t="str">
        <f>CONCATENATE("0060126000155       ","")</f>
        <v>0060126000155       </v>
      </c>
      <c r="F432" t="str">
        <f>CONCATENATE("605348034","")</f>
        <v>605348034</v>
      </c>
      <c r="G432" t="s">
        <v>959</v>
      </c>
      <c r="H432" t="s">
        <v>960</v>
      </c>
      <c r="I432" t="s">
        <v>961</v>
      </c>
      <c r="J432" t="str">
        <f t="shared" si="43"/>
        <v>080601</v>
      </c>
      <c r="K432" t="s">
        <v>22</v>
      </c>
      <c r="L432" t="s">
        <v>23</v>
      </c>
      <c r="M432" t="str">
        <f t="shared" si="45"/>
        <v>1</v>
      </c>
      <c r="O432" t="str">
        <f t="shared" si="46"/>
        <v>1 </v>
      </c>
      <c r="P432">
        <v>18.3</v>
      </c>
      <c r="Q432" t="s">
        <v>24</v>
      </c>
    </row>
    <row r="433" spans="1:17" ht="15">
      <c r="A433" t="s">
        <v>17</v>
      </c>
      <c r="B433" s="1">
        <v>41831</v>
      </c>
      <c r="C433" t="s">
        <v>191</v>
      </c>
      <c r="D433" t="str">
        <f>CONCATENATE("0040005029","")</f>
        <v>0040005029</v>
      </c>
      <c r="E433" t="str">
        <f>CONCATENATE("0060126000245       ","")</f>
        <v>0060126000245       </v>
      </c>
      <c r="F433" t="str">
        <f>CONCATENATE("605351443","")</f>
        <v>605351443</v>
      </c>
      <c r="G433" t="s">
        <v>962</v>
      </c>
      <c r="H433" t="s">
        <v>963</v>
      </c>
      <c r="I433" t="s">
        <v>961</v>
      </c>
      <c r="J433" t="str">
        <f t="shared" si="43"/>
        <v>080601</v>
      </c>
      <c r="K433" t="s">
        <v>22</v>
      </c>
      <c r="L433" t="s">
        <v>23</v>
      </c>
      <c r="M433" t="str">
        <f t="shared" si="45"/>
        <v>1</v>
      </c>
      <c r="O433" t="str">
        <f t="shared" si="46"/>
        <v>1 </v>
      </c>
      <c r="P433">
        <v>11.5</v>
      </c>
      <c r="Q433" t="s">
        <v>24</v>
      </c>
    </row>
    <row r="434" spans="1:17" ht="15">
      <c r="A434" t="s">
        <v>17</v>
      </c>
      <c r="B434" s="1">
        <v>41831</v>
      </c>
      <c r="C434" t="s">
        <v>191</v>
      </c>
      <c r="D434" t="str">
        <f>CONCATENATE("0040017813","")</f>
        <v>0040017813</v>
      </c>
      <c r="E434" t="str">
        <f>CONCATENATE("0060128000945       ","")</f>
        <v>0060128000945       </v>
      </c>
      <c r="F434" t="str">
        <f>CONCATENATE("605115260","")</f>
        <v>605115260</v>
      </c>
      <c r="G434" t="s">
        <v>964</v>
      </c>
      <c r="H434" t="s">
        <v>965</v>
      </c>
      <c r="I434" t="s">
        <v>966</v>
      </c>
      <c r="J434" t="str">
        <f t="shared" si="43"/>
        <v>080601</v>
      </c>
      <c r="K434" t="s">
        <v>22</v>
      </c>
      <c r="L434" t="s">
        <v>23</v>
      </c>
      <c r="M434" t="str">
        <f t="shared" si="45"/>
        <v>1</v>
      </c>
      <c r="O434" t="str">
        <f t="shared" si="46"/>
        <v>1 </v>
      </c>
      <c r="P434">
        <v>39.8</v>
      </c>
      <c r="Q434" t="s">
        <v>24</v>
      </c>
    </row>
    <row r="435" spans="1:17" ht="15">
      <c r="A435" t="s">
        <v>17</v>
      </c>
      <c r="B435" s="1">
        <v>41831</v>
      </c>
      <c r="C435" t="s">
        <v>191</v>
      </c>
      <c r="D435" t="str">
        <f>CONCATENATE("0040008880","")</f>
        <v>0040008880</v>
      </c>
      <c r="E435" t="str">
        <f>CONCATENATE("0060128000990       ","")</f>
        <v>0060128000990       </v>
      </c>
      <c r="F435" t="str">
        <f>CONCATENATE("07456119","")</f>
        <v>07456119</v>
      </c>
      <c r="G435" t="s">
        <v>964</v>
      </c>
      <c r="H435" t="s">
        <v>967</v>
      </c>
      <c r="I435" t="s">
        <v>968</v>
      </c>
      <c r="J435" t="str">
        <f t="shared" si="43"/>
        <v>080601</v>
      </c>
      <c r="K435" t="s">
        <v>22</v>
      </c>
      <c r="L435" t="s">
        <v>23</v>
      </c>
      <c r="M435" t="str">
        <f t="shared" si="45"/>
        <v>1</v>
      </c>
      <c r="O435" t="str">
        <f t="shared" si="46"/>
        <v>1 </v>
      </c>
      <c r="P435">
        <v>15.5</v>
      </c>
      <c r="Q435" t="s">
        <v>24</v>
      </c>
    </row>
    <row r="436" spans="1:17" ht="15">
      <c r="A436" t="s">
        <v>17</v>
      </c>
      <c r="B436" s="1">
        <v>41831</v>
      </c>
      <c r="C436" t="s">
        <v>191</v>
      </c>
      <c r="D436" t="str">
        <f>CONCATENATE("0040008922","")</f>
        <v>0040008922</v>
      </c>
      <c r="E436" t="str">
        <f>CONCATENATE("0060128001140       ","")</f>
        <v>0060128001140       </v>
      </c>
      <c r="F436" t="str">
        <f>CONCATENATE("0606033050","")</f>
        <v>0606033050</v>
      </c>
      <c r="G436" t="s">
        <v>964</v>
      </c>
      <c r="H436" t="s">
        <v>969</v>
      </c>
      <c r="I436" t="s">
        <v>968</v>
      </c>
      <c r="J436" t="str">
        <f t="shared" si="43"/>
        <v>080601</v>
      </c>
      <c r="K436" t="s">
        <v>22</v>
      </c>
      <c r="L436" t="s">
        <v>23</v>
      </c>
      <c r="M436" t="str">
        <f t="shared" si="45"/>
        <v>1</v>
      </c>
      <c r="O436" t="str">
        <f t="shared" si="46"/>
        <v>1 </v>
      </c>
      <c r="P436">
        <v>20.5</v>
      </c>
      <c r="Q436" t="s">
        <v>24</v>
      </c>
    </row>
    <row r="437" spans="1:17" ht="15">
      <c r="A437" t="s">
        <v>17</v>
      </c>
      <c r="B437" s="1">
        <v>41831</v>
      </c>
      <c r="C437" t="s">
        <v>191</v>
      </c>
      <c r="D437" t="str">
        <f>CONCATENATE("0040009116","")</f>
        <v>0040009116</v>
      </c>
      <c r="E437" t="str">
        <f>CONCATENATE("0060128002260       ","")</f>
        <v>0060128002260       </v>
      </c>
      <c r="F437" t="str">
        <f>CONCATENATE("07589054","")</f>
        <v>07589054</v>
      </c>
      <c r="G437" t="s">
        <v>970</v>
      </c>
      <c r="H437" t="s">
        <v>971</v>
      </c>
      <c r="I437" t="s">
        <v>972</v>
      </c>
      <c r="J437" t="str">
        <f t="shared" si="43"/>
        <v>080601</v>
      </c>
      <c r="K437" t="s">
        <v>22</v>
      </c>
      <c r="L437" t="s">
        <v>23</v>
      </c>
      <c r="M437" t="str">
        <f t="shared" si="45"/>
        <v>1</v>
      </c>
      <c r="O437" t="str">
        <f t="shared" si="46"/>
        <v>1 </v>
      </c>
      <c r="P437">
        <v>20.25</v>
      </c>
      <c r="Q437" t="s">
        <v>24</v>
      </c>
    </row>
    <row r="438" spans="1:17" ht="15">
      <c r="A438" t="s">
        <v>17</v>
      </c>
      <c r="B438" s="1">
        <v>41831</v>
      </c>
      <c r="C438" t="s">
        <v>191</v>
      </c>
      <c r="D438" t="str">
        <f>CONCATENATE("0040012015","")</f>
        <v>0040012015</v>
      </c>
      <c r="E438" t="str">
        <f>CONCATENATE("0060128002262       ","")</f>
        <v>0060128002262       </v>
      </c>
      <c r="F438" t="str">
        <f>CONCATENATE("07589965","")</f>
        <v>07589965</v>
      </c>
      <c r="G438" t="s">
        <v>970</v>
      </c>
      <c r="H438" t="s">
        <v>973</v>
      </c>
      <c r="I438" t="s">
        <v>974</v>
      </c>
      <c r="J438" t="str">
        <f aca="true" t="shared" si="47" ref="J438:J469">CONCATENATE("080601","")</f>
        <v>080601</v>
      </c>
      <c r="K438" t="s">
        <v>22</v>
      </c>
      <c r="L438" t="s">
        <v>23</v>
      </c>
      <c r="M438" t="str">
        <f t="shared" si="45"/>
        <v>1</v>
      </c>
      <c r="O438" t="str">
        <f t="shared" si="46"/>
        <v>1 </v>
      </c>
      <c r="P438">
        <v>36.8</v>
      </c>
      <c r="Q438" t="s">
        <v>24</v>
      </c>
    </row>
    <row r="439" spans="1:17" ht="15">
      <c r="A439" t="s">
        <v>17</v>
      </c>
      <c r="B439" s="1">
        <v>41831</v>
      </c>
      <c r="C439" t="s">
        <v>191</v>
      </c>
      <c r="D439" t="str">
        <f>CONCATENATE("0040009128","")</f>
        <v>0040009128</v>
      </c>
      <c r="E439" t="str">
        <f>CONCATENATE("0060128002380       ","")</f>
        <v>0060128002380       </v>
      </c>
      <c r="F439" t="str">
        <f>CONCATENATE("0606031086","")</f>
        <v>0606031086</v>
      </c>
      <c r="G439" t="s">
        <v>970</v>
      </c>
      <c r="H439" t="s">
        <v>975</v>
      </c>
      <c r="I439" t="s">
        <v>976</v>
      </c>
      <c r="J439" t="str">
        <f t="shared" si="47"/>
        <v>080601</v>
      </c>
      <c r="K439" t="s">
        <v>22</v>
      </c>
      <c r="L439" t="s">
        <v>23</v>
      </c>
      <c r="M439" t="str">
        <f t="shared" si="45"/>
        <v>1</v>
      </c>
      <c r="O439" t="str">
        <f t="shared" si="46"/>
        <v>1 </v>
      </c>
      <c r="P439">
        <v>42.25</v>
      </c>
      <c r="Q439" t="s">
        <v>24</v>
      </c>
    </row>
    <row r="440" spans="1:17" ht="15">
      <c r="A440" t="s">
        <v>17</v>
      </c>
      <c r="B440" s="1">
        <v>41831</v>
      </c>
      <c r="C440" t="s">
        <v>191</v>
      </c>
      <c r="D440" t="str">
        <f>CONCATENATE("0040015341","")</f>
        <v>0040015341</v>
      </c>
      <c r="E440" t="str">
        <f>CONCATENATE("0060128002635       ","")</f>
        <v>0060128002635       </v>
      </c>
      <c r="F440" t="str">
        <f>CONCATENATE("10430833","")</f>
        <v>10430833</v>
      </c>
      <c r="G440" t="s">
        <v>977</v>
      </c>
      <c r="H440" t="s">
        <v>978</v>
      </c>
      <c r="I440" t="s">
        <v>979</v>
      </c>
      <c r="J440" t="str">
        <f t="shared" si="47"/>
        <v>080601</v>
      </c>
      <c r="K440" t="s">
        <v>22</v>
      </c>
      <c r="L440" t="s">
        <v>23</v>
      </c>
      <c r="M440" t="str">
        <f t="shared" si="45"/>
        <v>1</v>
      </c>
      <c r="O440" t="str">
        <f t="shared" si="46"/>
        <v>1 </v>
      </c>
      <c r="P440">
        <v>30.45</v>
      </c>
      <c r="Q440" t="s">
        <v>24</v>
      </c>
    </row>
    <row r="441" spans="1:17" ht="15">
      <c r="A441" t="s">
        <v>17</v>
      </c>
      <c r="B441" s="1">
        <v>41831</v>
      </c>
      <c r="C441" t="s">
        <v>191</v>
      </c>
      <c r="D441" t="str">
        <f>CONCATENATE("0040018348","")</f>
        <v>0040018348</v>
      </c>
      <c r="E441" t="str">
        <f>CONCATENATE("0060128002705       ","")</f>
        <v>0060128002705       </v>
      </c>
      <c r="F441" t="str">
        <f>CONCATENATE("605289033","")</f>
        <v>605289033</v>
      </c>
      <c r="G441" t="s">
        <v>980</v>
      </c>
      <c r="H441" t="s">
        <v>981</v>
      </c>
      <c r="I441" t="s">
        <v>982</v>
      </c>
      <c r="J441" t="str">
        <f t="shared" si="47"/>
        <v>080601</v>
      </c>
      <c r="K441" t="s">
        <v>22</v>
      </c>
      <c r="L441" t="s">
        <v>23</v>
      </c>
      <c r="M441" t="str">
        <f t="shared" si="45"/>
        <v>1</v>
      </c>
      <c r="O441" t="str">
        <f t="shared" si="46"/>
        <v>1 </v>
      </c>
      <c r="P441">
        <v>30.7</v>
      </c>
      <c r="Q441" t="s">
        <v>24</v>
      </c>
    </row>
    <row r="442" spans="1:17" ht="15">
      <c r="A442" t="s">
        <v>17</v>
      </c>
      <c r="B442" s="1">
        <v>41831</v>
      </c>
      <c r="C442" t="s">
        <v>191</v>
      </c>
      <c r="D442" t="str">
        <f>CONCATENATE("0040023137","")</f>
        <v>0040023137</v>
      </c>
      <c r="E442" t="str">
        <f>CONCATENATE("0060128002761       ","")</f>
        <v>0060128002761       </v>
      </c>
      <c r="F442" t="str">
        <f>CONCATENATE("1860251","")</f>
        <v>1860251</v>
      </c>
      <c r="G442" t="s">
        <v>980</v>
      </c>
      <c r="H442" t="s">
        <v>983</v>
      </c>
      <c r="I442" t="s">
        <v>984</v>
      </c>
      <c r="J442" t="str">
        <f t="shared" si="47"/>
        <v>080601</v>
      </c>
      <c r="K442" t="s">
        <v>22</v>
      </c>
      <c r="L442" t="s">
        <v>23</v>
      </c>
      <c r="M442" t="str">
        <f t="shared" si="45"/>
        <v>1</v>
      </c>
      <c r="O442" t="str">
        <f t="shared" si="46"/>
        <v>1 </v>
      </c>
      <c r="P442">
        <v>10.8</v>
      </c>
      <c r="Q442" t="s">
        <v>24</v>
      </c>
    </row>
    <row r="443" spans="1:17" ht="15">
      <c r="A443" t="s">
        <v>17</v>
      </c>
      <c r="B443" s="1">
        <v>41831</v>
      </c>
      <c r="C443" t="s">
        <v>191</v>
      </c>
      <c r="D443" t="str">
        <f>CONCATENATE("0040016673","")</f>
        <v>0040016673</v>
      </c>
      <c r="E443" t="str">
        <f>CONCATENATE("0060128007140       ","")</f>
        <v>0060128007140       </v>
      </c>
      <c r="F443" t="str">
        <f>CONCATENATE("1040724","")</f>
        <v>1040724</v>
      </c>
      <c r="G443" t="s">
        <v>977</v>
      </c>
      <c r="H443" t="s">
        <v>985</v>
      </c>
      <c r="I443" t="s">
        <v>986</v>
      </c>
      <c r="J443" t="str">
        <f t="shared" si="47"/>
        <v>080601</v>
      </c>
      <c r="K443" t="s">
        <v>22</v>
      </c>
      <c r="L443" t="s">
        <v>23</v>
      </c>
      <c r="M443" t="str">
        <f t="shared" si="45"/>
        <v>1</v>
      </c>
      <c r="O443" t="str">
        <f t="shared" si="46"/>
        <v>1 </v>
      </c>
      <c r="P443">
        <v>15.05</v>
      </c>
      <c r="Q443" t="s">
        <v>24</v>
      </c>
    </row>
    <row r="444" spans="1:17" ht="15">
      <c r="A444" t="s">
        <v>17</v>
      </c>
      <c r="B444" s="1">
        <v>41831</v>
      </c>
      <c r="C444" t="s">
        <v>191</v>
      </c>
      <c r="D444" t="str">
        <f>CONCATENATE("0040015878","")</f>
        <v>0040015878</v>
      </c>
      <c r="E444" t="str">
        <f>CONCATENATE("0060128061180       ","")</f>
        <v>0060128061180       </v>
      </c>
      <c r="F444" t="str">
        <f>CONCATENATE("00000292095","")</f>
        <v>00000292095</v>
      </c>
      <c r="G444" t="s">
        <v>987</v>
      </c>
      <c r="H444" t="s">
        <v>988</v>
      </c>
      <c r="I444" t="s">
        <v>989</v>
      </c>
      <c r="J444" t="str">
        <f t="shared" si="47"/>
        <v>080601</v>
      </c>
      <c r="K444" t="s">
        <v>22</v>
      </c>
      <c r="L444" t="s">
        <v>23</v>
      </c>
      <c r="M444" t="str">
        <f t="shared" si="45"/>
        <v>1</v>
      </c>
      <c r="O444" t="str">
        <f t="shared" si="46"/>
        <v>1 </v>
      </c>
      <c r="P444">
        <v>15.95</v>
      </c>
      <c r="Q444" t="s">
        <v>24</v>
      </c>
    </row>
    <row r="445" spans="1:17" ht="15">
      <c r="A445" t="s">
        <v>17</v>
      </c>
      <c r="B445" s="1">
        <v>41831</v>
      </c>
      <c r="C445" t="s">
        <v>191</v>
      </c>
      <c r="D445" t="str">
        <f>CONCATENATE("0040013873","")</f>
        <v>0040013873</v>
      </c>
      <c r="E445" t="str">
        <f>CONCATENATE("0060130000006       ","")</f>
        <v>0060130000006       </v>
      </c>
      <c r="F445" t="str">
        <f>CONCATENATE("0605878556","")</f>
        <v>0605878556</v>
      </c>
      <c r="G445" t="s">
        <v>990</v>
      </c>
      <c r="H445" t="s">
        <v>991</v>
      </c>
      <c r="I445" t="s">
        <v>992</v>
      </c>
      <c r="J445" t="str">
        <f t="shared" si="47"/>
        <v>080601</v>
      </c>
      <c r="K445" t="s">
        <v>22</v>
      </c>
      <c r="L445" t="s">
        <v>23</v>
      </c>
      <c r="M445" t="str">
        <f t="shared" si="45"/>
        <v>1</v>
      </c>
      <c r="O445" t="str">
        <f t="shared" si="46"/>
        <v>1 </v>
      </c>
      <c r="P445">
        <v>14.25</v>
      </c>
      <c r="Q445" t="s">
        <v>24</v>
      </c>
    </row>
    <row r="446" spans="1:17" ht="15">
      <c r="A446" t="s">
        <v>17</v>
      </c>
      <c r="B446" s="1">
        <v>41831</v>
      </c>
      <c r="C446" t="s">
        <v>191</v>
      </c>
      <c r="D446" t="str">
        <f>CONCATENATE("0040034813","")</f>
        <v>0040034813</v>
      </c>
      <c r="E446" t="str">
        <f>CONCATENATE("0060130000022       ","")</f>
        <v>0060130000022       </v>
      </c>
      <c r="F446" t="str">
        <f>CONCATENATE("0606675553","")</f>
        <v>0606675553</v>
      </c>
      <c r="G446" t="s">
        <v>990</v>
      </c>
      <c r="H446" t="s">
        <v>993</v>
      </c>
      <c r="I446" t="s">
        <v>994</v>
      </c>
      <c r="J446" t="str">
        <f t="shared" si="47"/>
        <v>080601</v>
      </c>
      <c r="K446" t="s">
        <v>22</v>
      </c>
      <c r="L446" t="s">
        <v>23</v>
      </c>
      <c r="M446" t="str">
        <f t="shared" si="45"/>
        <v>1</v>
      </c>
      <c r="O446" t="str">
        <f t="shared" si="46"/>
        <v>1 </v>
      </c>
      <c r="P446">
        <v>11.5</v>
      </c>
      <c r="Q446" t="s">
        <v>24</v>
      </c>
    </row>
    <row r="447" spans="1:17" ht="15">
      <c r="A447" t="s">
        <v>17</v>
      </c>
      <c r="B447" s="1">
        <v>41831</v>
      </c>
      <c r="C447" t="s">
        <v>191</v>
      </c>
      <c r="D447" t="str">
        <f>CONCATENATE("0040005173","")</f>
        <v>0040005173</v>
      </c>
      <c r="E447" t="str">
        <f>CONCATENATE("0060130000320       ","")</f>
        <v>0060130000320       </v>
      </c>
      <c r="F447" t="str">
        <f>CONCATENATE("606031889","")</f>
        <v>606031889</v>
      </c>
      <c r="G447" t="s">
        <v>990</v>
      </c>
      <c r="H447" t="s">
        <v>995</v>
      </c>
      <c r="I447" t="s">
        <v>996</v>
      </c>
      <c r="J447" t="str">
        <f t="shared" si="47"/>
        <v>080601</v>
      </c>
      <c r="K447" t="s">
        <v>22</v>
      </c>
      <c r="L447" t="s">
        <v>23</v>
      </c>
      <c r="M447" t="str">
        <f t="shared" si="45"/>
        <v>1</v>
      </c>
      <c r="O447" t="str">
        <f t="shared" si="46"/>
        <v>1 </v>
      </c>
      <c r="P447">
        <v>19.5</v>
      </c>
      <c r="Q447" t="s">
        <v>24</v>
      </c>
    </row>
    <row r="448" spans="1:17" ht="15">
      <c r="A448" t="s">
        <v>17</v>
      </c>
      <c r="B448" s="1">
        <v>41831</v>
      </c>
      <c r="C448" t="s">
        <v>191</v>
      </c>
      <c r="D448" t="str">
        <f>CONCATENATE("0040019587","")</f>
        <v>0040019587</v>
      </c>
      <c r="E448" t="str">
        <f>CONCATENATE("0060130000419       ","")</f>
        <v>0060130000419       </v>
      </c>
      <c r="F448" t="str">
        <f>CONCATENATE("605618234","")</f>
        <v>605618234</v>
      </c>
      <c r="G448" t="s">
        <v>990</v>
      </c>
      <c r="H448" t="s">
        <v>997</v>
      </c>
      <c r="I448" t="s">
        <v>998</v>
      </c>
      <c r="J448" t="str">
        <f t="shared" si="47"/>
        <v>080601</v>
      </c>
      <c r="K448" t="s">
        <v>22</v>
      </c>
      <c r="L448" t="s">
        <v>23</v>
      </c>
      <c r="M448" t="str">
        <f t="shared" si="45"/>
        <v>1</v>
      </c>
      <c r="O448" t="str">
        <f t="shared" si="46"/>
        <v>1 </v>
      </c>
      <c r="P448">
        <v>33.65</v>
      </c>
      <c r="Q448" t="s">
        <v>24</v>
      </c>
    </row>
    <row r="449" spans="1:17" ht="15">
      <c r="A449" t="s">
        <v>17</v>
      </c>
      <c r="B449" s="1">
        <v>41831</v>
      </c>
      <c r="C449" t="s">
        <v>191</v>
      </c>
      <c r="D449" t="str">
        <f>CONCATENATE("0040023503","")</f>
        <v>0040023503</v>
      </c>
      <c r="E449" t="str">
        <f>CONCATENATE("0060130000533       ","")</f>
        <v>0060130000533       </v>
      </c>
      <c r="F449" t="str">
        <f>CONCATENATE("6625","")</f>
        <v>6625</v>
      </c>
      <c r="G449" t="s">
        <v>530</v>
      </c>
      <c r="H449" t="s">
        <v>999</v>
      </c>
      <c r="I449" t="s">
        <v>1000</v>
      </c>
      <c r="J449" t="str">
        <f t="shared" si="47"/>
        <v>080601</v>
      </c>
      <c r="K449" t="s">
        <v>22</v>
      </c>
      <c r="L449" t="s">
        <v>23</v>
      </c>
      <c r="M449" t="str">
        <f t="shared" si="45"/>
        <v>1</v>
      </c>
      <c r="O449" t="str">
        <f>CONCATENATE("3 ","")</f>
        <v>3 </v>
      </c>
      <c r="P449">
        <v>103</v>
      </c>
      <c r="Q449" t="s">
        <v>24</v>
      </c>
    </row>
    <row r="450" spans="1:17" ht="15">
      <c r="A450" t="s">
        <v>17</v>
      </c>
      <c r="B450" s="1">
        <v>41831</v>
      </c>
      <c r="C450" t="s">
        <v>191</v>
      </c>
      <c r="D450" t="str">
        <f>CONCATENATE("0040005217","")</f>
        <v>0040005217</v>
      </c>
      <c r="E450" t="str">
        <f>CONCATENATE("0060130000860       ","")</f>
        <v>0060130000860       </v>
      </c>
      <c r="F450" t="str">
        <f>CONCATENATE("0605879093","")</f>
        <v>0605879093</v>
      </c>
      <c r="G450" t="s">
        <v>990</v>
      </c>
      <c r="H450" t="s">
        <v>1001</v>
      </c>
      <c r="I450" t="s">
        <v>1002</v>
      </c>
      <c r="J450" t="str">
        <f t="shared" si="47"/>
        <v>080601</v>
      </c>
      <c r="K450" t="s">
        <v>22</v>
      </c>
      <c r="L450" t="s">
        <v>23</v>
      </c>
      <c r="M450" t="str">
        <f t="shared" si="45"/>
        <v>1</v>
      </c>
      <c r="O450" t="str">
        <f>CONCATENATE("1 ","")</f>
        <v>1 </v>
      </c>
      <c r="P450">
        <v>54.6</v>
      </c>
      <c r="Q450" t="s">
        <v>24</v>
      </c>
    </row>
    <row r="451" spans="1:17" ht="15">
      <c r="A451" t="s">
        <v>17</v>
      </c>
      <c r="B451" s="1">
        <v>41831</v>
      </c>
      <c r="C451" t="s">
        <v>191</v>
      </c>
      <c r="D451" t="str">
        <f>CONCATENATE("0040005273","")</f>
        <v>0040005273</v>
      </c>
      <c r="E451" t="str">
        <f>CONCATENATE("0060132000080       ","")</f>
        <v>0060132000080       </v>
      </c>
      <c r="F451" t="str">
        <f>CONCATENATE("0605350103","")</f>
        <v>0605350103</v>
      </c>
      <c r="G451" t="s">
        <v>1003</v>
      </c>
      <c r="H451" t="s">
        <v>1004</v>
      </c>
      <c r="I451" t="s">
        <v>1005</v>
      </c>
      <c r="J451" t="str">
        <f t="shared" si="47"/>
        <v>080601</v>
      </c>
      <c r="K451" t="s">
        <v>22</v>
      </c>
      <c r="L451" t="s">
        <v>23</v>
      </c>
      <c r="M451" t="str">
        <f t="shared" si="45"/>
        <v>1</v>
      </c>
      <c r="O451" t="str">
        <f>CONCATENATE("1 ","")</f>
        <v>1 </v>
      </c>
      <c r="P451">
        <v>14.15</v>
      </c>
      <c r="Q451" t="s">
        <v>24</v>
      </c>
    </row>
    <row r="452" spans="1:17" ht="15">
      <c r="A452" t="s">
        <v>17</v>
      </c>
      <c r="B452" s="1">
        <v>41831</v>
      </c>
      <c r="C452" t="s">
        <v>191</v>
      </c>
      <c r="D452" t="str">
        <f>CONCATENATE("0040005280","")</f>
        <v>0040005280</v>
      </c>
      <c r="E452" t="str">
        <f>CONCATENATE("0060132000440       ","")</f>
        <v>0060132000440       </v>
      </c>
      <c r="F452" t="str">
        <f>CONCATENATE("2182984","")</f>
        <v>2182984</v>
      </c>
      <c r="G452" t="s">
        <v>1003</v>
      </c>
      <c r="H452" t="s">
        <v>1006</v>
      </c>
      <c r="I452" t="s">
        <v>1005</v>
      </c>
      <c r="J452" t="str">
        <f t="shared" si="47"/>
        <v>080601</v>
      </c>
      <c r="K452" t="s">
        <v>22</v>
      </c>
      <c r="L452" t="s">
        <v>23</v>
      </c>
      <c r="M452" t="str">
        <f t="shared" si="45"/>
        <v>1</v>
      </c>
      <c r="O452" t="str">
        <f>CONCATENATE("1 ","")</f>
        <v>1 </v>
      </c>
      <c r="P452">
        <v>11.45</v>
      </c>
      <c r="Q452" t="s">
        <v>24</v>
      </c>
    </row>
    <row r="453" spans="1:17" ht="15">
      <c r="A453" t="s">
        <v>17</v>
      </c>
      <c r="B453" s="1">
        <v>41831</v>
      </c>
      <c r="C453" t="s">
        <v>191</v>
      </c>
      <c r="D453" t="str">
        <f>CONCATENATE("0040015893","")</f>
        <v>0040015893</v>
      </c>
      <c r="E453" t="str">
        <f>CONCATENATE("0060132000490       ","")</f>
        <v>0060132000490       </v>
      </c>
      <c r="F453" t="str">
        <f>CONCATENATE("00000291980","")</f>
        <v>00000291980</v>
      </c>
      <c r="G453" t="s">
        <v>1003</v>
      </c>
      <c r="H453" t="s">
        <v>1007</v>
      </c>
      <c r="I453" t="s">
        <v>1008</v>
      </c>
      <c r="J453" t="str">
        <f t="shared" si="47"/>
        <v>080601</v>
      </c>
      <c r="K453" t="s">
        <v>22</v>
      </c>
      <c r="L453" t="s">
        <v>23</v>
      </c>
      <c r="M453" t="str">
        <f t="shared" si="45"/>
        <v>1</v>
      </c>
      <c r="O453" t="str">
        <f>CONCATENATE("1 ","")</f>
        <v>1 </v>
      </c>
      <c r="P453">
        <v>24.95</v>
      </c>
      <c r="Q453" t="s">
        <v>24</v>
      </c>
    </row>
    <row r="454" spans="1:17" ht="15">
      <c r="A454" t="s">
        <v>17</v>
      </c>
      <c r="B454" s="1">
        <v>41831</v>
      </c>
      <c r="C454" t="s">
        <v>191</v>
      </c>
      <c r="D454" t="str">
        <f>CONCATENATE("0040005294","")</f>
        <v>0040005294</v>
      </c>
      <c r="E454" t="str">
        <f>CONCATENATE("0060132000700       ","")</f>
        <v>0060132000700       </v>
      </c>
      <c r="F454" t="str">
        <f>CONCATENATE("0605291725","")</f>
        <v>0605291725</v>
      </c>
      <c r="G454" t="s">
        <v>1003</v>
      </c>
      <c r="H454" t="s">
        <v>1009</v>
      </c>
      <c r="I454" t="s">
        <v>1005</v>
      </c>
      <c r="J454" t="str">
        <f t="shared" si="47"/>
        <v>080601</v>
      </c>
      <c r="K454" t="s">
        <v>22</v>
      </c>
      <c r="L454" t="s">
        <v>23</v>
      </c>
      <c r="M454" t="str">
        <f t="shared" si="45"/>
        <v>1</v>
      </c>
      <c r="O454" t="str">
        <f>CONCATENATE("3 ","")</f>
        <v>3 </v>
      </c>
      <c r="P454">
        <v>21.4</v>
      </c>
      <c r="Q454" t="s">
        <v>24</v>
      </c>
    </row>
    <row r="455" spans="1:17" ht="15">
      <c r="A455" t="s">
        <v>17</v>
      </c>
      <c r="B455" s="1">
        <v>41831</v>
      </c>
      <c r="C455" t="s">
        <v>191</v>
      </c>
      <c r="D455" t="str">
        <f>CONCATENATE("0040023635","")</f>
        <v>0040023635</v>
      </c>
      <c r="E455" t="str">
        <f>CONCATENATE("0060132000771       ","")</f>
        <v>0060132000771       </v>
      </c>
      <c r="F455" t="str">
        <f>CONCATENATE("507009281","")</f>
        <v>507009281</v>
      </c>
      <c r="G455" t="s">
        <v>1003</v>
      </c>
      <c r="H455" t="s">
        <v>1010</v>
      </c>
      <c r="I455" t="s">
        <v>1011</v>
      </c>
      <c r="J455" t="str">
        <f t="shared" si="47"/>
        <v>080601</v>
      </c>
      <c r="K455" t="s">
        <v>22</v>
      </c>
      <c r="L455" t="s">
        <v>23</v>
      </c>
      <c r="M455" t="str">
        <f>CONCATENATE("3","")</f>
        <v>3</v>
      </c>
      <c r="O455" t="str">
        <f>CONCATENATE("1 ","")</f>
        <v>1 </v>
      </c>
      <c r="P455">
        <v>311.65</v>
      </c>
      <c r="Q455" t="s">
        <v>326</v>
      </c>
    </row>
    <row r="456" spans="1:17" ht="15">
      <c r="A456" t="s">
        <v>17</v>
      </c>
      <c r="B456" s="1">
        <v>41831</v>
      </c>
      <c r="C456" t="s">
        <v>191</v>
      </c>
      <c r="D456" t="str">
        <f>CONCATENATE("0040016865","")</f>
        <v>0040016865</v>
      </c>
      <c r="E456" t="str">
        <f>CONCATENATE("0060132000780       ","")</f>
        <v>0060132000780       </v>
      </c>
      <c r="F456" t="str">
        <f>CONCATENATE("1083146","")</f>
        <v>1083146</v>
      </c>
      <c r="G456" t="s">
        <v>1003</v>
      </c>
      <c r="H456" t="s">
        <v>1012</v>
      </c>
      <c r="I456" t="s">
        <v>1013</v>
      </c>
      <c r="J456" t="str">
        <f t="shared" si="47"/>
        <v>080601</v>
      </c>
      <c r="K456" t="s">
        <v>22</v>
      </c>
      <c r="L456" t="s">
        <v>23</v>
      </c>
      <c r="M456" t="str">
        <f aca="true" t="shared" si="48" ref="M456:M487">CONCATENATE("1","")</f>
        <v>1</v>
      </c>
      <c r="O456" t="str">
        <f>CONCATENATE("3 ","")</f>
        <v>3 </v>
      </c>
      <c r="P456">
        <v>47.65</v>
      </c>
      <c r="Q456" t="s">
        <v>24</v>
      </c>
    </row>
    <row r="457" spans="1:17" ht="15">
      <c r="A457" t="s">
        <v>17</v>
      </c>
      <c r="B457" s="1">
        <v>41831</v>
      </c>
      <c r="C457" t="s">
        <v>191</v>
      </c>
      <c r="D457" t="str">
        <f>CONCATENATE("0040005299","")</f>
        <v>0040005299</v>
      </c>
      <c r="E457" t="str">
        <f>CONCATENATE("0060132001010       ","")</f>
        <v>0060132001010       </v>
      </c>
      <c r="F457" t="str">
        <f>CONCATENATE("605743708","")</f>
        <v>605743708</v>
      </c>
      <c r="G457" t="s">
        <v>1003</v>
      </c>
      <c r="H457" t="s">
        <v>1014</v>
      </c>
      <c r="I457" t="s">
        <v>1015</v>
      </c>
      <c r="J457" t="str">
        <f t="shared" si="47"/>
        <v>080601</v>
      </c>
      <c r="K457" t="s">
        <v>22</v>
      </c>
      <c r="L457" t="s">
        <v>23</v>
      </c>
      <c r="M457" t="str">
        <f t="shared" si="48"/>
        <v>1</v>
      </c>
      <c r="O457" t="str">
        <f aca="true" t="shared" si="49" ref="O457:O468">CONCATENATE("1 ","")</f>
        <v>1 </v>
      </c>
      <c r="P457">
        <v>24.8</v>
      </c>
      <c r="Q457" t="s">
        <v>24</v>
      </c>
    </row>
    <row r="458" spans="1:17" ht="15">
      <c r="A458" t="s">
        <v>17</v>
      </c>
      <c r="B458" s="1">
        <v>41831</v>
      </c>
      <c r="C458" t="s">
        <v>191</v>
      </c>
      <c r="D458" t="str">
        <f>CONCATENATE("0040019385","")</f>
        <v>0040019385</v>
      </c>
      <c r="E458" t="str">
        <f>CONCATENATE("0060132001040       ","")</f>
        <v>0060132001040       </v>
      </c>
      <c r="F458" t="str">
        <f>CONCATENATE("763768","")</f>
        <v>763768</v>
      </c>
      <c r="G458" t="s">
        <v>1003</v>
      </c>
      <c r="H458" t="s">
        <v>1016</v>
      </c>
      <c r="I458" t="s">
        <v>1017</v>
      </c>
      <c r="J458" t="str">
        <f t="shared" si="47"/>
        <v>080601</v>
      </c>
      <c r="K458" t="s">
        <v>22</v>
      </c>
      <c r="L458" t="s">
        <v>23</v>
      </c>
      <c r="M458" t="str">
        <f t="shared" si="48"/>
        <v>1</v>
      </c>
      <c r="O458" t="str">
        <f t="shared" si="49"/>
        <v>1 </v>
      </c>
      <c r="P458">
        <v>88.1</v>
      </c>
      <c r="Q458" t="s">
        <v>24</v>
      </c>
    </row>
    <row r="459" spans="1:17" ht="15">
      <c r="A459" t="s">
        <v>17</v>
      </c>
      <c r="B459" s="1">
        <v>41831</v>
      </c>
      <c r="C459" t="s">
        <v>191</v>
      </c>
      <c r="D459" t="str">
        <f>CONCATENATE("0040011051","")</f>
        <v>0040011051</v>
      </c>
      <c r="E459" t="str">
        <f>CONCATENATE("0060132001102       ","")</f>
        <v>0060132001102       </v>
      </c>
      <c r="F459" t="str">
        <f>CONCATENATE("606589860","")</f>
        <v>606589860</v>
      </c>
      <c r="G459" t="s">
        <v>1003</v>
      </c>
      <c r="H459" t="s">
        <v>1018</v>
      </c>
      <c r="I459" t="s">
        <v>1019</v>
      </c>
      <c r="J459" t="str">
        <f t="shared" si="47"/>
        <v>080601</v>
      </c>
      <c r="K459" t="s">
        <v>22</v>
      </c>
      <c r="L459" t="s">
        <v>23</v>
      </c>
      <c r="M459" t="str">
        <f t="shared" si="48"/>
        <v>1</v>
      </c>
      <c r="O459" t="str">
        <f t="shared" si="49"/>
        <v>1 </v>
      </c>
      <c r="P459">
        <v>16.95</v>
      </c>
      <c r="Q459" t="s">
        <v>24</v>
      </c>
    </row>
    <row r="460" spans="1:17" ht="15">
      <c r="A460" t="s">
        <v>17</v>
      </c>
      <c r="B460" s="1">
        <v>41831</v>
      </c>
      <c r="C460" t="s">
        <v>191</v>
      </c>
      <c r="D460" t="str">
        <f>CONCATENATE("0040019381","")</f>
        <v>0040019381</v>
      </c>
      <c r="E460" t="str">
        <f>CONCATENATE("0060132001363       ","")</f>
        <v>0060132001363       </v>
      </c>
      <c r="F460" t="str">
        <f>CONCATENATE("763758","")</f>
        <v>763758</v>
      </c>
      <c r="G460" t="s">
        <v>1003</v>
      </c>
      <c r="H460" t="s">
        <v>1020</v>
      </c>
      <c r="I460" t="s">
        <v>1021</v>
      </c>
      <c r="J460" t="str">
        <f t="shared" si="47"/>
        <v>080601</v>
      </c>
      <c r="K460" t="s">
        <v>22</v>
      </c>
      <c r="L460" t="s">
        <v>23</v>
      </c>
      <c r="M460" t="str">
        <f t="shared" si="48"/>
        <v>1</v>
      </c>
      <c r="O460" t="str">
        <f t="shared" si="49"/>
        <v>1 </v>
      </c>
      <c r="P460">
        <v>74.85</v>
      </c>
      <c r="Q460" t="s">
        <v>24</v>
      </c>
    </row>
    <row r="461" spans="1:17" ht="15">
      <c r="A461" t="s">
        <v>17</v>
      </c>
      <c r="B461" s="1">
        <v>41831</v>
      </c>
      <c r="C461" t="s">
        <v>191</v>
      </c>
      <c r="D461" t="str">
        <f>CONCATENATE("0040027645","")</f>
        <v>0040027645</v>
      </c>
      <c r="E461" t="str">
        <f>CONCATENATE("0060132001548       ","")</f>
        <v>0060132001548       </v>
      </c>
      <c r="F461" t="str">
        <f>CONCATENATE("2127168","")</f>
        <v>2127168</v>
      </c>
      <c r="G461" t="s">
        <v>1003</v>
      </c>
      <c r="H461" t="s">
        <v>1022</v>
      </c>
      <c r="I461" t="s">
        <v>1023</v>
      </c>
      <c r="J461" t="str">
        <f t="shared" si="47"/>
        <v>080601</v>
      </c>
      <c r="K461" t="s">
        <v>22</v>
      </c>
      <c r="L461" t="s">
        <v>23</v>
      </c>
      <c r="M461" t="str">
        <f t="shared" si="48"/>
        <v>1</v>
      </c>
      <c r="O461" t="str">
        <f t="shared" si="49"/>
        <v>1 </v>
      </c>
      <c r="P461">
        <v>31.65</v>
      </c>
      <c r="Q461" t="s">
        <v>24</v>
      </c>
    </row>
    <row r="462" spans="1:17" ht="15">
      <c r="A462" t="s">
        <v>17</v>
      </c>
      <c r="B462" s="1">
        <v>41831</v>
      </c>
      <c r="C462" t="s">
        <v>191</v>
      </c>
      <c r="D462" t="str">
        <f>CONCATENATE("0040016082","")</f>
        <v>0040016082</v>
      </c>
      <c r="E462" t="str">
        <f>CONCATENATE("0060132003020       ","")</f>
        <v>0060132003020       </v>
      </c>
      <c r="F462" t="str">
        <f>CONCATENATE("00000292299","")</f>
        <v>00000292299</v>
      </c>
      <c r="G462" t="s">
        <v>1024</v>
      </c>
      <c r="H462" t="s">
        <v>1025</v>
      </c>
      <c r="I462" t="s">
        <v>1026</v>
      </c>
      <c r="J462" t="str">
        <f t="shared" si="47"/>
        <v>080601</v>
      </c>
      <c r="K462" t="s">
        <v>22</v>
      </c>
      <c r="L462" t="s">
        <v>23</v>
      </c>
      <c r="M462" t="str">
        <f t="shared" si="48"/>
        <v>1</v>
      </c>
      <c r="O462" t="str">
        <f t="shared" si="49"/>
        <v>1 </v>
      </c>
      <c r="P462">
        <v>24.6</v>
      </c>
      <c r="Q462" t="s">
        <v>24</v>
      </c>
    </row>
    <row r="463" spans="1:17" ht="15">
      <c r="A463" t="s">
        <v>17</v>
      </c>
      <c r="B463" s="1">
        <v>41831</v>
      </c>
      <c r="C463" t="s">
        <v>191</v>
      </c>
      <c r="D463" t="str">
        <f>CONCATENATE("0040017516","")</f>
        <v>0040017516</v>
      </c>
      <c r="E463" t="str">
        <f>CONCATENATE("0060132003040       ","")</f>
        <v>0060132003040       </v>
      </c>
      <c r="F463" t="str">
        <f>CONCATENATE("1239965","")</f>
        <v>1239965</v>
      </c>
      <c r="G463" t="s">
        <v>1024</v>
      </c>
      <c r="H463" t="s">
        <v>1027</v>
      </c>
      <c r="I463" t="s">
        <v>1028</v>
      </c>
      <c r="J463" t="str">
        <f t="shared" si="47"/>
        <v>080601</v>
      </c>
      <c r="K463" t="s">
        <v>22</v>
      </c>
      <c r="L463" t="s">
        <v>23</v>
      </c>
      <c r="M463" t="str">
        <f t="shared" si="48"/>
        <v>1</v>
      </c>
      <c r="O463" t="str">
        <f t="shared" si="49"/>
        <v>1 </v>
      </c>
      <c r="P463">
        <v>21.65</v>
      </c>
      <c r="Q463" t="s">
        <v>24</v>
      </c>
    </row>
    <row r="464" spans="1:17" ht="15">
      <c r="A464" t="s">
        <v>17</v>
      </c>
      <c r="B464" s="1">
        <v>41831</v>
      </c>
      <c r="C464" t="s">
        <v>191</v>
      </c>
      <c r="D464" t="str">
        <f>CONCATENATE("0040005388","")</f>
        <v>0040005388</v>
      </c>
      <c r="E464" t="str">
        <f>CONCATENATE("0060134000390       ","")</f>
        <v>0060134000390       </v>
      </c>
      <c r="F464" t="str">
        <f>CONCATENATE("2189165","")</f>
        <v>2189165</v>
      </c>
      <c r="G464" t="s">
        <v>1029</v>
      </c>
      <c r="H464" t="s">
        <v>1030</v>
      </c>
      <c r="I464" t="s">
        <v>1031</v>
      </c>
      <c r="J464" t="str">
        <f t="shared" si="47"/>
        <v>080601</v>
      </c>
      <c r="K464" t="s">
        <v>22</v>
      </c>
      <c r="L464" t="s">
        <v>23</v>
      </c>
      <c r="M464" t="str">
        <f t="shared" si="48"/>
        <v>1</v>
      </c>
      <c r="O464" t="str">
        <f t="shared" si="49"/>
        <v>1 </v>
      </c>
      <c r="P464">
        <v>10.6</v>
      </c>
      <c r="Q464" t="s">
        <v>24</v>
      </c>
    </row>
    <row r="465" spans="1:17" ht="15">
      <c r="A465" t="s">
        <v>17</v>
      </c>
      <c r="B465" s="1">
        <v>41831</v>
      </c>
      <c r="C465" t="s">
        <v>191</v>
      </c>
      <c r="D465" t="str">
        <f>CONCATENATE("0040005403","")</f>
        <v>0040005403</v>
      </c>
      <c r="E465" t="str">
        <f>CONCATENATE("0060134000540       ","")</f>
        <v>0060134000540       </v>
      </c>
      <c r="F465" t="str">
        <f>CONCATENATE("0605350084","")</f>
        <v>0605350084</v>
      </c>
      <c r="G465" t="s">
        <v>1029</v>
      </c>
      <c r="H465" t="s">
        <v>1032</v>
      </c>
      <c r="I465" t="s">
        <v>1031</v>
      </c>
      <c r="J465" t="str">
        <f t="shared" si="47"/>
        <v>080601</v>
      </c>
      <c r="K465" t="s">
        <v>22</v>
      </c>
      <c r="L465" t="s">
        <v>23</v>
      </c>
      <c r="M465" t="str">
        <f t="shared" si="48"/>
        <v>1</v>
      </c>
      <c r="O465" t="str">
        <f t="shared" si="49"/>
        <v>1 </v>
      </c>
      <c r="P465">
        <v>14.25</v>
      </c>
      <c r="Q465" t="s">
        <v>24</v>
      </c>
    </row>
    <row r="466" spans="1:17" ht="15">
      <c r="A466" t="s">
        <v>17</v>
      </c>
      <c r="B466" s="1">
        <v>41831</v>
      </c>
      <c r="C466" t="s">
        <v>191</v>
      </c>
      <c r="D466" t="str">
        <f>CONCATENATE("0040005404","")</f>
        <v>0040005404</v>
      </c>
      <c r="E466" t="str">
        <f>CONCATENATE("0060134000550       ","")</f>
        <v>0060134000550       </v>
      </c>
      <c r="F466" t="str">
        <f>CONCATENATE("2189171","")</f>
        <v>2189171</v>
      </c>
      <c r="G466" t="s">
        <v>1029</v>
      </c>
      <c r="H466" t="s">
        <v>1033</v>
      </c>
      <c r="I466" t="s">
        <v>1031</v>
      </c>
      <c r="J466" t="str">
        <f t="shared" si="47"/>
        <v>080601</v>
      </c>
      <c r="K466" t="s">
        <v>22</v>
      </c>
      <c r="L466" t="s">
        <v>23</v>
      </c>
      <c r="M466" t="str">
        <f t="shared" si="48"/>
        <v>1</v>
      </c>
      <c r="O466" t="str">
        <f t="shared" si="49"/>
        <v>1 </v>
      </c>
      <c r="P466">
        <v>11.05</v>
      </c>
      <c r="Q466" t="s">
        <v>24</v>
      </c>
    </row>
    <row r="467" spans="1:17" ht="15">
      <c r="A467" t="s">
        <v>17</v>
      </c>
      <c r="B467" s="1">
        <v>41831</v>
      </c>
      <c r="C467" t="s">
        <v>191</v>
      </c>
      <c r="D467" t="str">
        <f>CONCATENATE("0040008097","")</f>
        <v>0040008097</v>
      </c>
      <c r="E467" t="str">
        <f>CONCATENATE("0060135000100       ","")</f>
        <v>0060135000100       </v>
      </c>
      <c r="F467" t="str">
        <f>CONCATENATE("0605350099","")</f>
        <v>0605350099</v>
      </c>
      <c r="G467" t="s">
        <v>1034</v>
      </c>
      <c r="H467" t="s">
        <v>1035</v>
      </c>
      <c r="I467" t="s">
        <v>1036</v>
      </c>
      <c r="J467" t="str">
        <f t="shared" si="47"/>
        <v>080601</v>
      </c>
      <c r="K467" t="s">
        <v>22</v>
      </c>
      <c r="L467" t="s">
        <v>23</v>
      </c>
      <c r="M467" t="str">
        <f t="shared" si="48"/>
        <v>1</v>
      </c>
      <c r="O467" t="str">
        <f t="shared" si="49"/>
        <v>1 </v>
      </c>
      <c r="P467">
        <v>68</v>
      </c>
      <c r="Q467" t="s">
        <v>24</v>
      </c>
    </row>
    <row r="468" spans="1:17" ht="15">
      <c r="A468" t="s">
        <v>17</v>
      </c>
      <c r="B468" s="1">
        <v>41831</v>
      </c>
      <c r="C468" t="s">
        <v>191</v>
      </c>
      <c r="D468" t="str">
        <f>CONCATENATE("0040011464","")</f>
        <v>0040011464</v>
      </c>
      <c r="E468" t="str">
        <f>CONCATENATE("0060136000042       ","")</f>
        <v>0060136000042       </v>
      </c>
      <c r="F468" t="str">
        <f>CONCATENATE("605744836","")</f>
        <v>605744836</v>
      </c>
      <c r="G468" t="s">
        <v>1037</v>
      </c>
      <c r="H468" t="s">
        <v>1038</v>
      </c>
      <c r="I468" t="s">
        <v>1039</v>
      </c>
      <c r="J468" t="str">
        <f t="shared" si="47"/>
        <v>080601</v>
      </c>
      <c r="K468" t="s">
        <v>22</v>
      </c>
      <c r="L468" t="s">
        <v>23</v>
      </c>
      <c r="M468" t="str">
        <f t="shared" si="48"/>
        <v>1</v>
      </c>
      <c r="O468" t="str">
        <f t="shared" si="49"/>
        <v>1 </v>
      </c>
      <c r="P468">
        <v>18.95</v>
      </c>
      <c r="Q468" t="s">
        <v>24</v>
      </c>
    </row>
    <row r="469" spans="1:17" ht="15">
      <c r="A469" t="s">
        <v>17</v>
      </c>
      <c r="B469" s="1">
        <v>41831</v>
      </c>
      <c r="C469" t="s">
        <v>191</v>
      </c>
      <c r="D469" t="str">
        <f>CONCATENATE("0040012990","")</f>
        <v>0040012990</v>
      </c>
      <c r="E469" t="str">
        <f>CONCATENATE("0060136000190       ","")</f>
        <v>0060136000190       </v>
      </c>
      <c r="F469" t="str">
        <f>CONCATENATE("605744837","")</f>
        <v>605744837</v>
      </c>
      <c r="G469" t="s">
        <v>1037</v>
      </c>
      <c r="H469" t="s">
        <v>1040</v>
      </c>
      <c r="I469" t="s">
        <v>1041</v>
      </c>
      <c r="J469" t="str">
        <f t="shared" si="47"/>
        <v>080601</v>
      </c>
      <c r="K469" t="s">
        <v>22</v>
      </c>
      <c r="L469" t="s">
        <v>23</v>
      </c>
      <c r="M469" t="str">
        <f t="shared" si="48"/>
        <v>1</v>
      </c>
      <c r="O469" t="str">
        <f>CONCATENATE("2 ","")</f>
        <v>2 </v>
      </c>
      <c r="P469">
        <v>19.95</v>
      </c>
      <c r="Q469" t="s">
        <v>24</v>
      </c>
    </row>
    <row r="470" spans="1:17" ht="15">
      <c r="A470" t="s">
        <v>17</v>
      </c>
      <c r="B470" s="1">
        <v>41831</v>
      </c>
      <c r="C470" t="s">
        <v>191</v>
      </c>
      <c r="D470" t="str">
        <f>CONCATENATE("0040007672","")</f>
        <v>0040007672</v>
      </c>
      <c r="E470" t="str">
        <f>CONCATENATE("0060136000600       ","")</f>
        <v>0060136000600       </v>
      </c>
      <c r="F470" t="str">
        <f>CONCATENATE("7502452","")</f>
        <v>7502452</v>
      </c>
      <c r="G470" t="s">
        <v>1037</v>
      </c>
      <c r="H470" t="s">
        <v>1042</v>
      </c>
      <c r="I470" t="s">
        <v>1043</v>
      </c>
      <c r="J470" t="str">
        <f aca="true" t="shared" si="50" ref="J470:J491">CONCATENATE("080601","")</f>
        <v>080601</v>
      </c>
      <c r="K470" t="s">
        <v>22</v>
      </c>
      <c r="L470" t="s">
        <v>23</v>
      </c>
      <c r="M470" t="str">
        <f t="shared" si="48"/>
        <v>1</v>
      </c>
      <c r="O470" t="str">
        <f>CONCATENATE("1 ","")</f>
        <v>1 </v>
      </c>
      <c r="P470">
        <v>26.2</v>
      </c>
      <c r="Q470" t="s">
        <v>24</v>
      </c>
    </row>
    <row r="471" spans="1:17" ht="15">
      <c r="A471" t="s">
        <v>17</v>
      </c>
      <c r="B471" s="1">
        <v>41831</v>
      </c>
      <c r="C471" t="s">
        <v>191</v>
      </c>
      <c r="D471" t="str">
        <f>CONCATENATE("0040007676","")</f>
        <v>0040007676</v>
      </c>
      <c r="E471" t="str">
        <f>CONCATENATE("0060137000040       ","")</f>
        <v>0060137000040       </v>
      </c>
      <c r="F471" t="str">
        <f>CONCATENATE("7500560","")</f>
        <v>7500560</v>
      </c>
      <c r="G471" t="s">
        <v>1044</v>
      </c>
      <c r="H471" t="s">
        <v>1045</v>
      </c>
      <c r="I471" t="s">
        <v>1046</v>
      </c>
      <c r="J471" t="str">
        <f t="shared" si="50"/>
        <v>080601</v>
      </c>
      <c r="K471" t="s">
        <v>22</v>
      </c>
      <c r="L471" t="s">
        <v>23</v>
      </c>
      <c r="M471" t="str">
        <f t="shared" si="48"/>
        <v>1</v>
      </c>
      <c r="O471" t="str">
        <f>CONCATENATE("2 ","")</f>
        <v>2 </v>
      </c>
      <c r="P471">
        <v>29.9</v>
      </c>
      <c r="Q471" t="s">
        <v>24</v>
      </c>
    </row>
    <row r="472" spans="1:17" ht="15">
      <c r="A472" t="s">
        <v>17</v>
      </c>
      <c r="B472" s="1">
        <v>41831</v>
      </c>
      <c r="C472" t="s">
        <v>191</v>
      </c>
      <c r="D472" t="str">
        <f>CONCATENATE("0040013742","")</f>
        <v>0040013742</v>
      </c>
      <c r="E472" t="str">
        <f>CONCATENATE("0060137001195       ","")</f>
        <v>0060137001195       </v>
      </c>
      <c r="F472" t="str">
        <f>CONCATENATE("605395678","")</f>
        <v>605395678</v>
      </c>
      <c r="G472" t="s">
        <v>1047</v>
      </c>
      <c r="H472" t="s">
        <v>1048</v>
      </c>
      <c r="I472" t="s">
        <v>1049</v>
      </c>
      <c r="J472" t="str">
        <f t="shared" si="50"/>
        <v>080601</v>
      </c>
      <c r="K472" t="s">
        <v>22</v>
      </c>
      <c r="L472" t="s">
        <v>23</v>
      </c>
      <c r="M472" t="str">
        <f t="shared" si="48"/>
        <v>1</v>
      </c>
      <c r="O472" t="str">
        <f>CONCATENATE("2 ","")</f>
        <v>2 </v>
      </c>
      <c r="P472">
        <v>36.5</v>
      </c>
      <c r="Q472" t="s">
        <v>24</v>
      </c>
    </row>
    <row r="473" spans="1:17" ht="15">
      <c r="A473" t="s">
        <v>17</v>
      </c>
      <c r="B473" s="1">
        <v>41831</v>
      </c>
      <c r="C473" t="s">
        <v>191</v>
      </c>
      <c r="D473" t="str">
        <f>CONCATENATE("0040017175","")</f>
        <v>0040017175</v>
      </c>
      <c r="E473" t="str">
        <f>CONCATENATE("0060137005350       ","")</f>
        <v>0060137005350       </v>
      </c>
      <c r="F473" t="str">
        <f>CONCATENATE("605760583","")</f>
        <v>605760583</v>
      </c>
      <c r="G473" t="s">
        <v>1050</v>
      </c>
      <c r="H473" t="s">
        <v>1051</v>
      </c>
      <c r="I473" t="s">
        <v>1052</v>
      </c>
      <c r="J473" t="str">
        <f t="shared" si="50"/>
        <v>080601</v>
      </c>
      <c r="K473" t="s">
        <v>22</v>
      </c>
      <c r="L473" t="s">
        <v>23</v>
      </c>
      <c r="M473" t="str">
        <f t="shared" si="48"/>
        <v>1</v>
      </c>
      <c r="O473" t="str">
        <f aca="true" t="shared" si="51" ref="O473:O482">CONCATENATE("1 ","")</f>
        <v>1 </v>
      </c>
      <c r="P473">
        <v>42.1</v>
      </c>
      <c r="Q473" t="s">
        <v>24</v>
      </c>
    </row>
    <row r="474" spans="1:17" ht="15">
      <c r="A474" t="s">
        <v>17</v>
      </c>
      <c r="B474" s="1">
        <v>41831</v>
      </c>
      <c r="C474" t="s">
        <v>191</v>
      </c>
      <c r="D474" t="str">
        <f>CONCATENATE("0040018282","")</f>
        <v>0040018282</v>
      </c>
      <c r="E474" t="str">
        <f>CONCATENATE("0060137005420       ","")</f>
        <v>0060137005420       </v>
      </c>
      <c r="F474" t="str">
        <f>CONCATENATE("605760585","")</f>
        <v>605760585</v>
      </c>
      <c r="G474" t="s">
        <v>1050</v>
      </c>
      <c r="H474" t="s">
        <v>1053</v>
      </c>
      <c r="I474" t="s">
        <v>1054</v>
      </c>
      <c r="J474" t="str">
        <f t="shared" si="50"/>
        <v>080601</v>
      </c>
      <c r="K474" t="s">
        <v>22</v>
      </c>
      <c r="L474" t="s">
        <v>23</v>
      </c>
      <c r="M474" t="str">
        <f t="shared" si="48"/>
        <v>1</v>
      </c>
      <c r="O474" t="str">
        <f t="shared" si="51"/>
        <v>1 </v>
      </c>
      <c r="P474">
        <v>10.65</v>
      </c>
      <c r="Q474" t="s">
        <v>24</v>
      </c>
    </row>
    <row r="475" spans="1:17" ht="15">
      <c r="A475" t="s">
        <v>17</v>
      </c>
      <c r="B475" s="1">
        <v>41831</v>
      </c>
      <c r="C475" t="s">
        <v>191</v>
      </c>
      <c r="D475" t="str">
        <f>CONCATENATE("0040020483","")</f>
        <v>0040020483</v>
      </c>
      <c r="E475" t="str">
        <f>CONCATENATE("0060137005445       ","")</f>
        <v>0060137005445       </v>
      </c>
      <c r="F475" t="str">
        <f>CONCATENATE("605934830","")</f>
        <v>605934830</v>
      </c>
      <c r="G475" t="s">
        <v>1050</v>
      </c>
      <c r="H475" t="s">
        <v>1055</v>
      </c>
      <c r="I475" t="s">
        <v>1056</v>
      </c>
      <c r="J475" t="str">
        <f t="shared" si="50"/>
        <v>080601</v>
      </c>
      <c r="K475" t="s">
        <v>22</v>
      </c>
      <c r="L475" t="s">
        <v>23</v>
      </c>
      <c r="M475" t="str">
        <f t="shared" si="48"/>
        <v>1</v>
      </c>
      <c r="O475" t="str">
        <f t="shared" si="51"/>
        <v>1 </v>
      </c>
      <c r="P475">
        <v>11.8</v>
      </c>
      <c r="Q475" t="s">
        <v>24</v>
      </c>
    </row>
    <row r="476" spans="1:17" ht="15">
      <c r="A476" t="s">
        <v>17</v>
      </c>
      <c r="B476" s="1">
        <v>41831</v>
      </c>
      <c r="C476" t="s">
        <v>191</v>
      </c>
      <c r="D476" t="str">
        <f>CONCATENATE("0040013626","")</f>
        <v>0040013626</v>
      </c>
      <c r="E476" t="str">
        <f>CONCATENATE("0060138000101       ","")</f>
        <v>0060138000101       </v>
      </c>
      <c r="F476" t="str">
        <f>CONCATENATE("0605878729","")</f>
        <v>0605878729</v>
      </c>
      <c r="G476" t="s">
        <v>1057</v>
      </c>
      <c r="H476" t="s">
        <v>1058</v>
      </c>
      <c r="I476" t="s">
        <v>1059</v>
      </c>
      <c r="J476" t="str">
        <f t="shared" si="50"/>
        <v>080601</v>
      </c>
      <c r="K476" t="s">
        <v>22</v>
      </c>
      <c r="L476" t="s">
        <v>23</v>
      </c>
      <c r="M476" t="str">
        <f t="shared" si="48"/>
        <v>1</v>
      </c>
      <c r="O476" t="str">
        <f t="shared" si="51"/>
        <v>1 </v>
      </c>
      <c r="P476">
        <v>13</v>
      </c>
      <c r="Q476" t="s">
        <v>24</v>
      </c>
    </row>
    <row r="477" spans="1:17" ht="15">
      <c r="A477" t="s">
        <v>17</v>
      </c>
      <c r="B477" s="1">
        <v>41831</v>
      </c>
      <c r="C477" t="s">
        <v>191</v>
      </c>
      <c r="D477" t="str">
        <f>CONCATENATE("0040030337","")</f>
        <v>0040030337</v>
      </c>
      <c r="E477" t="str">
        <f>CONCATENATE("0060138000102       ","")</f>
        <v>0060138000102       </v>
      </c>
      <c r="F477" t="str">
        <f>CONCATENATE("2121104","")</f>
        <v>2121104</v>
      </c>
      <c r="G477" t="s">
        <v>1057</v>
      </c>
      <c r="H477" t="s">
        <v>1060</v>
      </c>
      <c r="I477" t="s">
        <v>1061</v>
      </c>
      <c r="J477" t="str">
        <f t="shared" si="50"/>
        <v>080601</v>
      </c>
      <c r="K477" t="s">
        <v>22</v>
      </c>
      <c r="L477" t="s">
        <v>23</v>
      </c>
      <c r="M477" t="str">
        <f t="shared" si="48"/>
        <v>1</v>
      </c>
      <c r="O477" t="str">
        <f t="shared" si="51"/>
        <v>1 </v>
      </c>
      <c r="P477">
        <v>41.2</v>
      </c>
      <c r="Q477" t="s">
        <v>24</v>
      </c>
    </row>
    <row r="478" spans="1:17" ht="15">
      <c r="A478" t="s">
        <v>17</v>
      </c>
      <c r="B478" s="1">
        <v>41831</v>
      </c>
      <c r="C478" t="s">
        <v>191</v>
      </c>
      <c r="D478" t="str">
        <f>CONCATENATE("0040030876","")</f>
        <v>0040030876</v>
      </c>
      <c r="E478" t="str">
        <f>CONCATENATE("0060138000375       ","")</f>
        <v>0060138000375       </v>
      </c>
      <c r="F478" t="str">
        <f>CONCATENATE("2150476","")</f>
        <v>2150476</v>
      </c>
      <c r="G478" t="s">
        <v>1057</v>
      </c>
      <c r="H478" t="s">
        <v>1062</v>
      </c>
      <c r="I478" t="s">
        <v>1063</v>
      </c>
      <c r="J478" t="str">
        <f t="shared" si="50"/>
        <v>080601</v>
      </c>
      <c r="K478" t="s">
        <v>22</v>
      </c>
      <c r="L478" t="s">
        <v>23</v>
      </c>
      <c r="M478" t="str">
        <f t="shared" si="48"/>
        <v>1</v>
      </c>
      <c r="O478" t="str">
        <f t="shared" si="51"/>
        <v>1 </v>
      </c>
      <c r="P478">
        <v>41.5</v>
      </c>
      <c r="Q478" t="s">
        <v>24</v>
      </c>
    </row>
    <row r="479" spans="1:17" ht="15">
      <c r="A479" t="s">
        <v>17</v>
      </c>
      <c r="B479" s="1">
        <v>41831</v>
      </c>
      <c r="C479" t="s">
        <v>191</v>
      </c>
      <c r="D479" t="str">
        <f>CONCATENATE("0040007710","")</f>
        <v>0040007710</v>
      </c>
      <c r="E479" t="str">
        <f>CONCATENATE("0060138000440       ","")</f>
        <v>0060138000440       </v>
      </c>
      <c r="F479" t="str">
        <f>CONCATENATE("0606033042","")</f>
        <v>0606033042</v>
      </c>
      <c r="G479" t="s">
        <v>1057</v>
      </c>
      <c r="H479" t="s">
        <v>1064</v>
      </c>
      <c r="I479" t="s">
        <v>1065</v>
      </c>
      <c r="J479" t="str">
        <f t="shared" si="50"/>
        <v>080601</v>
      </c>
      <c r="K479" t="s">
        <v>22</v>
      </c>
      <c r="L479" t="s">
        <v>23</v>
      </c>
      <c r="M479" t="str">
        <f t="shared" si="48"/>
        <v>1</v>
      </c>
      <c r="O479" t="str">
        <f t="shared" si="51"/>
        <v>1 </v>
      </c>
      <c r="P479">
        <v>12.6</v>
      </c>
      <c r="Q479" t="s">
        <v>24</v>
      </c>
    </row>
    <row r="480" spans="1:17" ht="15">
      <c r="A480" t="s">
        <v>17</v>
      </c>
      <c r="B480" s="1">
        <v>41831</v>
      </c>
      <c r="C480" t="s">
        <v>191</v>
      </c>
      <c r="D480" t="str">
        <f>CONCATENATE("0040012475","")</f>
        <v>0040012475</v>
      </c>
      <c r="E480" t="str">
        <f>CONCATENATE("0060138000470       ","")</f>
        <v>0060138000470       </v>
      </c>
      <c r="F480" t="str">
        <f>CONCATENATE("0606032111","")</f>
        <v>0606032111</v>
      </c>
      <c r="G480" t="s">
        <v>1057</v>
      </c>
      <c r="H480" t="s">
        <v>1066</v>
      </c>
      <c r="I480" t="s">
        <v>1067</v>
      </c>
      <c r="J480" t="str">
        <f t="shared" si="50"/>
        <v>080601</v>
      </c>
      <c r="K480" t="s">
        <v>22</v>
      </c>
      <c r="L480" t="s">
        <v>23</v>
      </c>
      <c r="M480" t="str">
        <f t="shared" si="48"/>
        <v>1</v>
      </c>
      <c r="O480" t="str">
        <f t="shared" si="51"/>
        <v>1 </v>
      </c>
      <c r="P480">
        <v>12.55</v>
      </c>
      <c r="Q480" t="s">
        <v>24</v>
      </c>
    </row>
    <row r="481" spans="1:17" ht="15">
      <c r="A481" t="s">
        <v>17</v>
      </c>
      <c r="B481" s="1">
        <v>41831</v>
      </c>
      <c r="C481" t="s">
        <v>191</v>
      </c>
      <c r="D481" t="str">
        <f>CONCATENATE("0040007713","")</f>
        <v>0040007713</v>
      </c>
      <c r="E481" t="str">
        <f>CONCATENATE("0060138000500       ","")</f>
        <v>0060138000500       </v>
      </c>
      <c r="F481" t="str">
        <f>CONCATENATE("0606032108","")</f>
        <v>0606032108</v>
      </c>
      <c r="G481" t="s">
        <v>1057</v>
      </c>
      <c r="H481" t="s">
        <v>1068</v>
      </c>
      <c r="I481" t="s">
        <v>1065</v>
      </c>
      <c r="J481" t="str">
        <f t="shared" si="50"/>
        <v>080601</v>
      </c>
      <c r="K481" t="s">
        <v>22</v>
      </c>
      <c r="L481" t="s">
        <v>23</v>
      </c>
      <c r="M481" t="str">
        <f t="shared" si="48"/>
        <v>1</v>
      </c>
      <c r="O481" t="str">
        <f t="shared" si="51"/>
        <v>1 </v>
      </c>
      <c r="P481">
        <v>41.25</v>
      </c>
      <c r="Q481" t="s">
        <v>24</v>
      </c>
    </row>
    <row r="482" spans="1:17" ht="15">
      <c r="A482" t="s">
        <v>17</v>
      </c>
      <c r="B482" s="1">
        <v>41831</v>
      </c>
      <c r="C482" t="s">
        <v>191</v>
      </c>
      <c r="D482" t="str">
        <f>CONCATENATE("0040009951","")</f>
        <v>0040009951</v>
      </c>
      <c r="E482" t="str">
        <f>CONCATENATE("0060138000510       ","")</f>
        <v>0060138000510       </v>
      </c>
      <c r="F482" t="str">
        <f>CONCATENATE("7296204","")</f>
        <v>7296204</v>
      </c>
      <c r="G482" t="s">
        <v>1057</v>
      </c>
      <c r="H482" t="s">
        <v>1069</v>
      </c>
      <c r="I482" t="s">
        <v>1070</v>
      </c>
      <c r="J482" t="str">
        <f t="shared" si="50"/>
        <v>080601</v>
      </c>
      <c r="K482" t="s">
        <v>22</v>
      </c>
      <c r="L482" t="s">
        <v>23</v>
      </c>
      <c r="M482" t="str">
        <f t="shared" si="48"/>
        <v>1</v>
      </c>
      <c r="O482" t="str">
        <f t="shared" si="51"/>
        <v>1 </v>
      </c>
      <c r="P482">
        <v>28.45</v>
      </c>
      <c r="Q482" t="s">
        <v>24</v>
      </c>
    </row>
    <row r="483" spans="1:17" ht="15">
      <c r="A483" t="s">
        <v>17</v>
      </c>
      <c r="B483" s="1">
        <v>41831</v>
      </c>
      <c r="C483" t="s">
        <v>191</v>
      </c>
      <c r="D483" t="str">
        <f>CONCATENATE("0040007717","")</f>
        <v>0040007717</v>
      </c>
      <c r="E483" t="str">
        <f>CONCATENATE("0060138000600       ","")</f>
        <v>0060138000600       </v>
      </c>
      <c r="F483" t="str">
        <f>CONCATENATE("605351784","")</f>
        <v>605351784</v>
      </c>
      <c r="G483" t="s">
        <v>1057</v>
      </c>
      <c r="H483" t="s">
        <v>1071</v>
      </c>
      <c r="I483" t="s">
        <v>1065</v>
      </c>
      <c r="J483" t="str">
        <f t="shared" si="50"/>
        <v>080601</v>
      </c>
      <c r="K483" t="s">
        <v>22</v>
      </c>
      <c r="L483" t="s">
        <v>23</v>
      </c>
      <c r="M483" t="str">
        <f t="shared" si="48"/>
        <v>1</v>
      </c>
      <c r="O483" t="str">
        <f>CONCATENATE("2 ","")</f>
        <v>2 </v>
      </c>
      <c r="P483">
        <v>38.5</v>
      </c>
      <c r="Q483" t="s">
        <v>24</v>
      </c>
    </row>
    <row r="484" spans="1:17" ht="15">
      <c r="A484" t="s">
        <v>17</v>
      </c>
      <c r="B484" s="1">
        <v>41831</v>
      </c>
      <c r="C484" t="s">
        <v>191</v>
      </c>
      <c r="D484" t="str">
        <f>CONCATENATE("0040007996","")</f>
        <v>0040007996</v>
      </c>
      <c r="E484" t="str">
        <f>CONCATENATE("0060138000770       ","")</f>
        <v>0060138000770       </v>
      </c>
      <c r="F484" t="str">
        <f>CONCATENATE("7434847","")</f>
        <v>7434847</v>
      </c>
      <c r="G484" t="s">
        <v>1057</v>
      </c>
      <c r="H484" t="s">
        <v>1072</v>
      </c>
      <c r="I484" t="s">
        <v>1073</v>
      </c>
      <c r="J484" t="str">
        <f t="shared" si="50"/>
        <v>080601</v>
      </c>
      <c r="K484" t="s">
        <v>22</v>
      </c>
      <c r="L484" t="s">
        <v>23</v>
      </c>
      <c r="M484" t="str">
        <f t="shared" si="48"/>
        <v>1</v>
      </c>
      <c r="O484" t="str">
        <f aca="true" t="shared" si="52" ref="O484:O491">CONCATENATE("1 ","")</f>
        <v>1 </v>
      </c>
      <c r="P484">
        <v>21.8</v>
      </c>
      <c r="Q484" t="s">
        <v>24</v>
      </c>
    </row>
    <row r="485" spans="1:17" ht="15">
      <c r="A485" t="s">
        <v>17</v>
      </c>
      <c r="B485" s="1">
        <v>41831</v>
      </c>
      <c r="C485" t="s">
        <v>191</v>
      </c>
      <c r="D485" t="str">
        <f>CONCATENATE("0040007997","")</f>
        <v>0040007997</v>
      </c>
      <c r="E485" t="str">
        <f>CONCATENATE("0060138000780       ","")</f>
        <v>0060138000780       </v>
      </c>
      <c r="F485" t="str">
        <f>CONCATENATE("605742330","")</f>
        <v>605742330</v>
      </c>
      <c r="G485" t="s">
        <v>1057</v>
      </c>
      <c r="H485" t="s">
        <v>1074</v>
      </c>
      <c r="I485" t="s">
        <v>1073</v>
      </c>
      <c r="J485" t="str">
        <f t="shared" si="50"/>
        <v>080601</v>
      </c>
      <c r="K485" t="s">
        <v>22</v>
      </c>
      <c r="L485" t="s">
        <v>23</v>
      </c>
      <c r="M485" t="str">
        <f t="shared" si="48"/>
        <v>1</v>
      </c>
      <c r="O485" t="str">
        <f t="shared" si="52"/>
        <v>1 </v>
      </c>
      <c r="P485">
        <v>28.05</v>
      </c>
      <c r="Q485" t="s">
        <v>24</v>
      </c>
    </row>
    <row r="486" spans="1:17" ht="15">
      <c r="A486" t="s">
        <v>17</v>
      </c>
      <c r="B486" s="1">
        <v>41831</v>
      </c>
      <c r="C486" t="s">
        <v>191</v>
      </c>
      <c r="D486" t="str">
        <f>CONCATENATE("0040008525","")</f>
        <v>0040008525</v>
      </c>
      <c r="E486" t="str">
        <f>CONCATENATE("0060138000785       ","")</f>
        <v>0060138000785       </v>
      </c>
      <c r="F486" t="str">
        <f>CONCATENATE("605743692","")</f>
        <v>605743692</v>
      </c>
      <c r="G486" t="s">
        <v>1057</v>
      </c>
      <c r="H486" t="s">
        <v>1075</v>
      </c>
      <c r="I486" t="s">
        <v>1076</v>
      </c>
      <c r="J486" t="str">
        <f t="shared" si="50"/>
        <v>080601</v>
      </c>
      <c r="K486" t="s">
        <v>22</v>
      </c>
      <c r="L486" t="s">
        <v>23</v>
      </c>
      <c r="M486" t="str">
        <f t="shared" si="48"/>
        <v>1</v>
      </c>
      <c r="O486" t="str">
        <f t="shared" si="52"/>
        <v>1 </v>
      </c>
      <c r="P486">
        <v>36.75</v>
      </c>
      <c r="Q486" t="s">
        <v>24</v>
      </c>
    </row>
    <row r="487" spans="1:17" ht="15">
      <c r="A487" t="s">
        <v>17</v>
      </c>
      <c r="B487" s="1">
        <v>41831</v>
      </c>
      <c r="C487" t="s">
        <v>191</v>
      </c>
      <c r="D487" t="str">
        <f>CONCATENATE("0040007998","")</f>
        <v>0040007998</v>
      </c>
      <c r="E487" t="str">
        <f>CONCATENATE("0060138001790       ","")</f>
        <v>0060138001790       </v>
      </c>
      <c r="F487" t="str">
        <f>CONCATENATE("0606033053","")</f>
        <v>0606033053</v>
      </c>
      <c r="G487" t="s">
        <v>1057</v>
      </c>
      <c r="H487" t="s">
        <v>1077</v>
      </c>
      <c r="I487" t="s">
        <v>1078</v>
      </c>
      <c r="J487" t="str">
        <f t="shared" si="50"/>
        <v>080601</v>
      </c>
      <c r="K487" t="s">
        <v>22</v>
      </c>
      <c r="L487" t="s">
        <v>23</v>
      </c>
      <c r="M487" t="str">
        <f t="shared" si="48"/>
        <v>1</v>
      </c>
      <c r="O487" t="str">
        <f t="shared" si="52"/>
        <v>1 </v>
      </c>
      <c r="P487">
        <v>46.85</v>
      </c>
      <c r="Q487" t="s">
        <v>24</v>
      </c>
    </row>
    <row r="488" spans="1:17" ht="15">
      <c r="A488" t="s">
        <v>17</v>
      </c>
      <c r="B488" s="1">
        <v>41831</v>
      </c>
      <c r="C488" t="s">
        <v>191</v>
      </c>
      <c r="D488" t="str">
        <f>CONCATENATE("0040008006","")</f>
        <v>0040008006</v>
      </c>
      <c r="E488" t="str">
        <f>CONCATENATE("0060138001870       ","")</f>
        <v>0060138001870       </v>
      </c>
      <c r="F488" t="str">
        <f>CONCATENATE("605118210","")</f>
        <v>605118210</v>
      </c>
      <c r="G488" t="s">
        <v>1057</v>
      </c>
      <c r="H488" t="s">
        <v>1079</v>
      </c>
      <c r="I488" t="s">
        <v>1080</v>
      </c>
      <c r="J488" t="str">
        <f t="shared" si="50"/>
        <v>080601</v>
      </c>
      <c r="K488" t="s">
        <v>22</v>
      </c>
      <c r="L488" t="s">
        <v>23</v>
      </c>
      <c r="M488" t="str">
        <f aca="true" t="shared" si="53" ref="M488:M519">CONCATENATE("1","")</f>
        <v>1</v>
      </c>
      <c r="O488" t="str">
        <f t="shared" si="52"/>
        <v>1 </v>
      </c>
      <c r="P488">
        <v>12.65</v>
      </c>
      <c r="Q488" t="s">
        <v>24</v>
      </c>
    </row>
    <row r="489" spans="1:17" ht="15">
      <c r="A489" t="s">
        <v>17</v>
      </c>
      <c r="B489" s="1">
        <v>41831</v>
      </c>
      <c r="C489" t="s">
        <v>191</v>
      </c>
      <c r="D489" t="str">
        <f>CONCATENATE("0040008012","")</f>
        <v>0040008012</v>
      </c>
      <c r="E489" t="str">
        <f>CONCATENATE("0060138001890       ","")</f>
        <v>0060138001890       </v>
      </c>
      <c r="F489" t="str">
        <f>CONCATENATE("2187902","")</f>
        <v>2187902</v>
      </c>
      <c r="G489" t="s">
        <v>1057</v>
      </c>
      <c r="H489" t="s">
        <v>1081</v>
      </c>
      <c r="I489" t="s">
        <v>1082</v>
      </c>
      <c r="J489" t="str">
        <f t="shared" si="50"/>
        <v>080601</v>
      </c>
      <c r="K489" t="s">
        <v>22</v>
      </c>
      <c r="L489" t="s">
        <v>23</v>
      </c>
      <c r="M489" t="str">
        <f t="shared" si="53"/>
        <v>1</v>
      </c>
      <c r="O489" t="str">
        <f t="shared" si="52"/>
        <v>1 </v>
      </c>
      <c r="P489">
        <v>28.45</v>
      </c>
      <c r="Q489" t="s">
        <v>24</v>
      </c>
    </row>
    <row r="490" spans="1:17" ht="15">
      <c r="A490" t="s">
        <v>17</v>
      </c>
      <c r="B490" s="1">
        <v>41831</v>
      </c>
      <c r="C490" t="s">
        <v>191</v>
      </c>
      <c r="D490" t="str">
        <f>CONCATENATE("0040008015","")</f>
        <v>0040008015</v>
      </c>
      <c r="E490" t="str">
        <f>CONCATENATE("0060138001910       ","")</f>
        <v>0060138001910       </v>
      </c>
      <c r="F490" t="str">
        <f>CONCATENATE("0606033041","")</f>
        <v>0606033041</v>
      </c>
      <c r="G490" t="s">
        <v>1057</v>
      </c>
      <c r="H490" t="s">
        <v>1083</v>
      </c>
      <c r="I490" t="s">
        <v>1084</v>
      </c>
      <c r="J490" t="str">
        <f t="shared" si="50"/>
        <v>080601</v>
      </c>
      <c r="K490" t="s">
        <v>22</v>
      </c>
      <c r="L490" t="s">
        <v>23</v>
      </c>
      <c r="M490" t="str">
        <f t="shared" si="53"/>
        <v>1</v>
      </c>
      <c r="O490" t="str">
        <f t="shared" si="52"/>
        <v>1 </v>
      </c>
      <c r="P490">
        <v>20.9</v>
      </c>
      <c r="Q490" t="s">
        <v>24</v>
      </c>
    </row>
    <row r="491" spans="1:17" ht="15">
      <c r="A491" t="s">
        <v>17</v>
      </c>
      <c r="B491" s="1">
        <v>41831</v>
      </c>
      <c r="C491" t="s">
        <v>191</v>
      </c>
      <c r="D491" t="str">
        <f>CONCATENATE("0040012211","")</f>
        <v>0040012211</v>
      </c>
      <c r="E491" t="str">
        <f>CONCATENATE("0060138007000       ","")</f>
        <v>0060138007000       </v>
      </c>
      <c r="F491" t="str">
        <f>CONCATENATE("2755989","")</f>
        <v>2755989</v>
      </c>
      <c r="G491" t="s">
        <v>1085</v>
      </c>
      <c r="H491" t="s">
        <v>1086</v>
      </c>
      <c r="I491" t="s">
        <v>1087</v>
      </c>
      <c r="J491" t="str">
        <f t="shared" si="50"/>
        <v>080601</v>
      </c>
      <c r="K491" t="s">
        <v>22</v>
      </c>
      <c r="L491" t="s">
        <v>23</v>
      </c>
      <c r="M491" t="str">
        <f t="shared" si="53"/>
        <v>1</v>
      </c>
      <c r="O491" t="str">
        <f t="shared" si="52"/>
        <v>1 </v>
      </c>
      <c r="P491">
        <v>15.85</v>
      </c>
      <c r="Q491" t="s">
        <v>24</v>
      </c>
    </row>
    <row r="492" spans="1:17" ht="15">
      <c r="A492" t="s">
        <v>17</v>
      </c>
      <c r="B492" s="1">
        <v>41831</v>
      </c>
      <c r="C492" t="s">
        <v>50</v>
      </c>
      <c r="D492" t="str">
        <f>CONCATENATE("0040007792","")</f>
        <v>0040007792</v>
      </c>
      <c r="E492" t="str">
        <f>CONCATENATE("0060139000310       ","")</f>
        <v>0060139000310       </v>
      </c>
      <c r="F492" t="str">
        <f>CONCATENATE("605352263","")</f>
        <v>605352263</v>
      </c>
      <c r="G492" t="s">
        <v>1088</v>
      </c>
      <c r="H492" t="s">
        <v>1089</v>
      </c>
      <c r="I492" t="s">
        <v>1090</v>
      </c>
      <c r="J492" t="str">
        <f>CONCATENATE("080504","")</f>
        <v>080504</v>
      </c>
      <c r="K492" t="s">
        <v>22</v>
      </c>
      <c r="L492" t="s">
        <v>23</v>
      </c>
      <c r="M492" t="str">
        <f t="shared" si="53"/>
        <v>1</v>
      </c>
      <c r="O492" t="str">
        <f>CONCATENATE("2 ","")</f>
        <v>2 </v>
      </c>
      <c r="P492">
        <v>17.3</v>
      </c>
      <c r="Q492" t="s">
        <v>24</v>
      </c>
    </row>
    <row r="493" spans="1:17" ht="15">
      <c r="A493" t="s">
        <v>17</v>
      </c>
      <c r="B493" s="1">
        <v>41831</v>
      </c>
      <c r="C493" t="s">
        <v>191</v>
      </c>
      <c r="D493" t="str">
        <f>CONCATENATE("0040009321","")</f>
        <v>0040009321</v>
      </c>
      <c r="E493" t="str">
        <f>CONCATENATE("0060140000195       ","")</f>
        <v>0060140000195       </v>
      </c>
      <c r="F493" t="str">
        <f>CONCATENATE("605055197","")</f>
        <v>605055197</v>
      </c>
      <c r="G493" t="s">
        <v>1091</v>
      </c>
      <c r="H493" t="s">
        <v>1092</v>
      </c>
      <c r="I493" t="s">
        <v>1093</v>
      </c>
      <c r="J493" t="str">
        <f aca="true" t="shared" si="54" ref="J493:J510">CONCATENATE("080601","")</f>
        <v>080601</v>
      </c>
      <c r="K493" t="s">
        <v>22</v>
      </c>
      <c r="L493" t="s">
        <v>23</v>
      </c>
      <c r="M493" t="str">
        <f t="shared" si="53"/>
        <v>1</v>
      </c>
      <c r="O493" t="str">
        <f>CONCATENATE("1 ","")</f>
        <v>1 </v>
      </c>
      <c r="P493">
        <v>13</v>
      </c>
      <c r="Q493" t="s">
        <v>24</v>
      </c>
    </row>
    <row r="494" spans="1:17" ht="15">
      <c r="A494" t="s">
        <v>17</v>
      </c>
      <c r="B494" s="1">
        <v>41831</v>
      </c>
      <c r="C494" t="s">
        <v>191</v>
      </c>
      <c r="D494" t="str">
        <f>CONCATENATE("0040005437","")</f>
        <v>0040005437</v>
      </c>
      <c r="E494" t="str">
        <f>CONCATENATE("0060140000270       ","")</f>
        <v>0060140000270       </v>
      </c>
      <c r="F494" t="str">
        <f>CONCATENATE("0605283250","")</f>
        <v>0605283250</v>
      </c>
      <c r="G494" t="s">
        <v>1091</v>
      </c>
      <c r="H494" t="s">
        <v>1094</v>
      </c>
      <c r="I494" t="s">
        <v>1095</v>
      </c>
      <c r="J494" t="str">
        <f t="shared" si="54"/>
        <v>080601</v>
      </c>
      <c r="K494" t="s">
        <v>22</v>
      </c>
      <c r="L494" t="s">
        <v>23</v>
      </c>
      <c r="M494" t="str">
        <f t="shared" si="53"/>
        <v>1</v>
      </c>
      <c r="O494" t="str">
        <f>CONCATENATE("1 ","")</f>
        <v>1 </v>
      </c>
      <c r="P494">
        <v>89.95</v>
      </c>
      <c r="Q494" t="s">
        <v>24</v>
      </c>
    </row>
    <row r="495" spans="1:17" ht="15">
      <c r="A495" t="s">
        <v>17</v>
      </c>
      <c r="B495" s="1">
        <v>41831</v>
      </c>
      <c r="C495" t="s">
        <v>191</v>
      </c>
      <c r="D495" t="str">
        <f>CONCATENATE("0040005475","")</f>
        <v>0040005475</v>
      </c>
      <c r="E495" t="str">
        <f>CONCATENATE("0060140000790       ","")</f>
        <v>0060140000790       </v>
      </c>
      <c r="F495" t="str">
        <f>CONCATENATE("605555541","")</f>
        <v>605555541</v>
      </c>
      <c r="G495" t="s">
        <v>1091</v>
      </c>
      <c r="H495" t="s">
        <v>1096</v>
      </c>
      <c r="I495" t="s">
        <v>1095</v>
      </c>
      <c r="J495" t="str">
        <f t="shared" si="54"/>
        <v>080601</v>
      </c>
      <c r="K495" t="s">
        <v>22</v>
      </c>
      <c r="L495" t="s">
        <v>23</v>
      </c>
      <c r="M495" t="str">
        <f t="shared" si="53"/>
        <v>1</v>
      </c>
      <c r="O495" t="str">
        <f>CONCATENATE("1 ","")</f>
        <v>1 </v>
      </c>
      <c r="P495">
        <v>27.35</v>
      </c>
      <c r="Q495" t="s">
        <v>24</v>
      </c>
    </row>
    <row r="496" spans="1:17" ht="15">
      <c r="A496" t="s">
        <v>17</v>
      </c>
      <c r="B496" s="1">
        <v>41831</v>
      </c>
      <c r="C496" t="s">
        <v>191</v>
      </c>
      <c r="D496" t="str">
        <f>CONCATENATE("0040005480","")</f>
        <v>0040005480</v>
      </c>
      <c r="E496" t="str">
        <f>CONCATENATE("0060140000850       ","")</f>
        <v>0060140000850       </v>
      </c>
      <c r="F496" t="str">
        <f>CONCATENATE("2181055","")</f>
        <v>2181055</v>
      </c>
      <c r="G496" t="s">
        <v>1091</v>
      </c>
      <c r="H496" t="s">
        <v>1097</v>
      </c>
      <c r="I496" t="s">
        <v>1095</v>
      </c>
      <c r="J496" t="str">
        <f t="shared" si="54"/>
        <v>080601</v>
      </c>
      <c r="K496" t="s">
        <v>22</v>
      </c>
      <c r="L496" t="s">
        <v>23</v>
      </c>
      <c r="M496" t="str">
        <f t="shared" si="53"/>
        <v>1</v>
      </c>
      <c r="O496" t="str">
        <f>CONCATENATE("1 ","")</f>
        <v>1 </v>
      </c>
      <c r="P496">
        <v>24.45</v>
      </c>
      <c r="Q496" t="s">
        <v>24</v>
      </c>
    </row>
    <row r="497" spans="1:17" ht="15">
      <c r="A497" t="s">
        <v>17</v>
      </c>
      <c r="B497" s="1">
        <v>41831</v>
      </c>
      <c r="C497" t="s">
        <v>191</v>
      </c>
      <c r="D497" t="str">
        <f>CONCATENATE("0040022867","")</f>
        <v>0040022867</v>
      </c>
      <c r="E497" t="str">
        <f>CONCATENATE("0060140000885       ","")</f>
        <v>0060140000885       </v>
      </c>
      <c r="F497" t="str">
        <f>CONCATENATE("605390682","")</f>
        <v>605390682</v>
      </c>
      <c r="G497" t="s">
        <v>1091</v>
      </c>
      <c r="H497" t="s">
        <v>1098</v>
      </c>
      <c r="I497" t="s">
        <v>1099</v>
      </c>
      <c r="J497" t="str">
        <f t="shared" si="54"/>
        <v>080601</v>
      </c>
      <c r="K497" t="s">
        <v>22</v>
      </c>
      <c r="L497" t="s">
        <v>23</v>
      </c>
      <c r="M497" t="str">
        <f t="shared" si="53"/>
        <v>1</v>
      </c>
      <c r="O497" t="str">
        <f>CONCATENATE("2 ","")</f>
        <v>2 </v>
      </c>
      <c r="P497">
        <v>240.6</v>
      </c>
      <c r="Q497" t="s">
        <v>24</v>
      </c>
    </row>
    <row r="498" spans="1:17" ht="15">
      <c r="A498" t="s">
        <v>17</v>
      </c>
      <c r="B498" s="1">
        <v>41831</v>
      </c>
      <c r="C498" t="s">
        <v>191</v>
      </c>
      <c r="D498" t="str">
        <f>CONCATENATE("0040018494","")</f>
        <v>0040018494</v>
      </c>
      <c r="E498" t="str">
        <f>CONCATENATE("0060140000900       ","")</f>
        <v>0060140000900       </v>
      </c>
      <c r="F498" t="str">
        <f>CONCATENATE("605289006","")</f>
        <v>605289006</v>
      </c>
      <c r="G498" t="s">
        <v>1091</v>
      </c>
      <c r="H498" t="s">
        <v>1100</v>
      </c>
      <c r="I498" t="s">
        <v>1101</v>
      </c>
      <c r="J498" t="str">
        <f t="shared" si="54"/>
        <v>080601</v>
      </c>
      <c r="K498" t="s">
        <v>22</v>
      </c>
      <c r="L498" t="s">
        <v>23</v>
      </c>
      <c r="M498" t="str">
        <f t="shared" si="53"/>
        <v>1</v>
      </c>
      <c r="O498" t="str">
        <f aca="true" t="shared" si="55" ref="O498:O510">CONCATENATE("1 ","")</f>
        <v>1 </v>
      </c>
      <c r="P498">
        <v>28.9</v>
      </c>
      <c r="Q498" t="s">
        <v>24</v>
      </c>
    </row>
    <row r="499" spans="1:17" ht="15">
      <c r="A499" t="s">
        <v>17</v>
      </c>
      <c r="B499" s="1">
        <v>41831</v>
      </c>
      <c r="C499" t="s">
        <v>191</v>
      </c>
      <c r="D499" t="str">
        <f>CONCATENATE("0040005517","")</f>
        <v>0040005517</v>
      </c>
      <c r="E499" t="str">
        <f>CONCATENATE("0060141000310       ","")</f>
        <v>0060141000310       </v>
      </c>
      <c r="F499" t="str">
        <f>CONCATENATE("605351725","")</f>
        <v>605351725</v>
      </c>
      <c r="G499" t="s">
        <v>1102</v>
      </c>
      <c r="H499" t="s">
        <v>1103</v>
      </c>
      <c r="I499" t="s">
        <v>1095</v>
      </c>
      <c r="J499" t="str">
        <f t="shared" si="54"/>
        <v>080601</v>
      </c>
      <c r="K499" t="s">
        <v>22</v>
      </c>
      <c r="L499" t="s">
        <v>23</v>
      </c>
      <c r="M499" t="str">
        <f t="shared" si="53"/>
        <v>1</v>
      </c>
      <c r="O499" t="str">
        <f t="shared" si="55"/>
        <v>1 </v>
      </c>
      <c r="P499">
        <v>22.95</v>
      </c>
      <c r="Q499" t="s">
        <v>24</v>
      </c>
    </row>
    <row r="500" spans="1:17" ht="15">
      <c r="A500" t="s">
        <v>17</v>
      </c>
      <c r="B500" s="1">
        <v>41831</v>
      </c>
      <c r="C500" t="s">
        <v>191</v>
      </c>
      <c r="D500" t="str">
        <f>CONCATENATE("0040005553","")</f>
        <v>0040005553</v>
      </c>
      <c r="E500" t="str">
        <f>CONCATENATE("0060141001340       ","")</f>
        <v>0060141001340       </v>
      </c>
      <c r="F500" t="str">
        <f>CONCATENATE("605056131","")</f>
        <v>605056131</v>
      </c>
      <c r="G500" t="s">
        <v>1104</v>
      </c>
      <c r="H500" t="s">
        <v>1105</v>
      </c>
      <c r="I500" t="s">
        <v>1106</v>
      </c>
      <c r="J500" t="str">
        <f t="shared" si="54"/>
        <v>080601</v>
      </c>
      <c r="K500" t="s">
        <v>22</v>
      </c>
      <c r="L500" t="s">
        <v>23</v>
      </c>
      <c r="M500" t="str">
        <f t="shared" si="53"/>
        <v>1</v>
      </c>
      <c r="O500" t="str">
        <f t="shared" si="55"/>
        <v>1 </v>
      </c>
      <c r="P500">
        <v>10.6</v>
      </c>
      <c r="Q500" t="s">
        <v>24</v>
      </c>
    </row>
    <row r="501" spans="1:17" ht="15">
      <c r="A501" t="s">
        <v>17</v>
      </c>
      <c r="B501" s="1">
        <v>41831</v>
      </c>
      <c r="C501" t="s">
        <v>191</v>
      </c>
      <c r="D501" t="str">
        <f>CONCATENATE("0040011477","")</f>
        <v>0040011477</v>
      </c>
      <c r="E501" t="str">
        <f>CONCATENATE("0060142001301       ","")</f>
        <v>0060142001301       </v>
      </c>
      <c r="F501" t="str">
        <f>CONCATENATE("605742765","")</f>
        <v>605742765</v>
      </c>
      <c r="G501" t="s">
        <v>1102</v>
      </c>
      <c r="H501" t="s">
        <v>1107</v>
      </c>
      <c r="I501" t="s">
        <v>1108</v>
      </c>
      <c r="J501" t="str">
        <f t="shared" si="54"/>
        <v>080601</v>
      </c>
      <c r="K501" t="s">
        <v>22</v>
      </c>
      <c r="L501" t="s">
        <v>23</v>
      </c>
      <c r="M501" t="str">
        <f t="shared" si="53"/>
        <v>1</v>
      </c>
      <c r="O501" t="str">
        <f t="shared" si="55"/>
        <v>1 </v>
      </c>
      <c r="P501">
        <v>23.65</v>
      </c>
      <c r="Q501" t="s">
        <v>24</v>
      </c>
    </row>
    <row r="502" spans="1:17" ht="15">
      <c r="A502" t="s">
        <v>17</v>
      </c>
      <c r="B502" s="1">
        <v>41831</v>
      </c>
      <c r="C502" t="s">
        <v>191</v>
      </c>
      <c r="D502" t="str">
        <f>CONCATENATE("0040018550","")</f>
        <v>0040018550</v>
      </c>
      <c r="E502" t="str">
        <f>CONCATENATE("0060142001303       ","")</f>
        <v>0060142001303       </v>
      </c>
      <c r="F502" t="str">
        <f>CONCATENATE("605280633","")</f>
        <v>605280633</v>
      </c>
      <c r="G502" t="s">
        <v>1102</v>
      </c>
      <c r="H502" t="s">
        <v>1109</v>
      </c>
      <c r="I502" t="s">
        <v>1110</v>
      </c>
      <c r="J502" t="str">
        <f t="shared" si="54"/>
        <v>080601</v>
      </c>
      <c r="K502" t="s">
        <v>22</v>
      </c>
      <c r="L502" t="s">
        <v>23</v>
      </c>
      <c r="M502" t="str">
        <f t="shared" si="53"/>
        <v>1</v>
      </c>
      <c r="O502" t="str">
        <f t="shared" si="55"/>
        <v>1 </v>
      </c>
      <c r="P502">
        <v>61.55</v>
      </c>
      <c r="Q502" t="s">
        <v>24</v>
      </c>
    </row>
    <row r="503" spans="1:17" ht="15">
      <c r="A503" t="s">
        <v>17</v>
      </c>
      <c r="B503" s="1">
        <v>41831</v>
      </c>
      <c r="C503" t="s">
        <v>191</v>
      </c>
      <c r="D503" t="str">
        <f>CONCATENATE("0040014365","")</f>
        <v>0040014365</v>
      </c>
      <c r="E503" t="str">
        <f>CONCATENATE("0060142008715       ","")</f>
        <v>0060142008715       </v>
      </c>
      <c r="F503" t="str">
        <f>CONCATENATE("0605879825","")</f>
        <v>0605879825</v>
      </c>
      <c r="G503" t="s">
        <v>1102</v>
      </c>
      <c r="H503" t="s">
        <v>1111</v>
      </c>
      <c r="I503" t="s">
        <v>1112</v>
      </c>
      <c r="J503" t="str">
        <f t="shared" si="54"/>
        <v>080601</v>
      </c>
      <c r="K503" t="s">
        <v>22</v>
      </c>
      <c r="L503" t="s">
        <v>23</v>
      </c>
      <c r="M503" t="str">
        <f t="shared" si="53"/>
        <v>1</v>
      </c>
      <c r="O503" t="str">
        <f t="shared" si="55"/>
        <v>1 </v>
      </c>
      <c r="P503">
        <v>27.75</v>
      </c>
      <c r="Q503" t="s">
        <v>24</v>
      </c>
    </row>
    <row r="504" spans="1:17" ht="15">
      <c r="A504" t="s">
        <v>17</v>
      </c>
      <c r="B504" s="1">
        <v>41831</v>
      </c>
      <c r="C504" t="s">
        <v>191</v>
      </c>
      <c r="D504" t="str">
        <f>CONCATENATE("0040005611","")</f>
        <v>0040005611</v>
      </c>
      <c r="E504" t="str">
        <f>CONCATENATE("0060142008740       ","")</f>
        <v>0060142008740       </v>
      </c>
      <c r="F504" t="str">
        <f>CONCATENATE("00952521","")</f>
        <v>00952521</v>
      </c>
      <c r="G504" t="s">
        <v>1102</v>
      </c>
      <c r="H504" t="s">
        <v>1113</v>
      </c>
      <c r="I504" t="s">
        <v>1114</v>
      </c>
      <c r="J504" t="str">
        <f t="shared" si="54"/>
        <v>080601</v>
      </c>
      <c r="K504" t="s">
        <v>22</v>
      </c>
      <c r="L504" t="s">
        <v>23</v>
      </c>
      <c r="M504" t="str">
        <f t="shared" si="53"/>
        <v>1</v>
      </c>
      <c r="O504" t="str">
        <f t="shared" si="55"/>
        <v>1 </v>
      </c>
      <c r="P504">
        <v>40.85</v>
      </c>
      <c r="Q504" t="s">
        <v>24</v>
      </c>
    </row>
    <row r="505" spans="1:17" ht="15">
      <c r="A505" t="s">
        <v>17</v>
      </c>
      <c r="B505" s="1">
        <v>41831</v>
      </c>
      <c r="C505" t="s">
        <v>191</v>
      </c>
      <c r="D505" t="str">
        <f>CONCATENATE("0040005614","")</f>
        <v>0040005614</v>
      </c>
      <c r="E505" t="str">
        <f>CONCATENATE("0060142008810       ","")</f>
        <v>0060142008810       </v>
      </c>
      <c r="F505" t="str">
        <f>CONCATENATE("06856241","")</f>
        <v>06856241</v>
      </c>
      <c r="G505" t="s">
        <v>1102</v>
      </c>
      <c r="H505" t="s">
        <v>1115</v>
      </c>
      <c r="I505" t="s">
        <v>1114</v>
      </c>
      <c r="J505" t="str">
        <f t="shared" si="54"/>
        <v>080601</v>
      </c>
      <c r="K505" t="s">
        <v>22</v>
      </c>
      <c r="L505" t="s">
        <v>23</v>
      </c>
      <c r="M505" t="str">
        <f t="shared" si="53"/>
        <v>1</v>
      </c>
      <c r="O505" t="str">
        <f t="shared" si="55"/>
        <v>1 </v>
      </c>
      <c r="P505">
        <v>30.45</v>
      </c>
      <c r="Q505" t="s">
        <v>24</v>
      </c>
    </row>
    <row r="506" spans="1:17" ht="15">
      <c r="A506" t="s">
        <v>17</v>
      </c>
      <c r="B506" s="1">
        <v>41831</v>
      </c>
      <c r="C506" t="s">
        <v>191</v>
      </c>
      <c r="D506" t="str">
        <f>CONCATENATE("0040021120","")</f>
        <v>0040021120</v>
      </c>
      <c r="E506" t="str">
        <f>CONCATENATE("0060142008838       ","")</f>
        <v>0060142008838       </v>
      </c>
      <c r="F506" t="str">
        <f>CONCATENATE("606135625","")</f>
        <v>606135625</v>
      </c>
      <c r="G506" t="s">
        <v>1102</v>
      </c>
      <c r="H506" t="s">
        <v>1116</v>
      </c>
      <c r="I506" t="s">
        <v>1117</v>
      </c>
      <c r="J506" t="str">
        <f t="shared" si="54"/>
        <v>080601</v>
      </c>
      <c r="K506" t="s">
        <v>22</v>
      </c>
      <c r="L506" t="s">
        <v>23</v>
      </c>
      <c r="M506" t="str">
        <f t="shared" si="53"/>
        <v>1</v>
      </c>
      <c r="O506" t="str">
        <f t="shared" si="55"/>
        <v>1 </v>
      </c>
      <c r="P506">
        <v>53.8</v>
      </c>
      <c r="Q506" t="s">
        <v>24</v>
      </c>
    </row>
    <row r="507" spans="1:17" ht="15">
      <c r="A507" t="s">
        <v>17</v>
      </c>
      <c r="B507" s="1">
        <v>41831</v>
      </c>
      <c r="C507" t="s">
        <v>191</v>
      </c>
      <c r="D507" t="str">
        <f>CONCATENATE("0040018462","")</f>
        <v>0040018462</v>
      </c>
      <c r="E507" t="str">
        <f>CONCATENATE("0060143000615       ","")</f>
        <v>0060143000615       </v>
      </c>
      <c r="F507" t="str">
        <f>CONCATENATE("605279880","")</f>
        <v>605279880</v>
      </c>
      <c r="G507" t="s">
        <v>1118</v>
      </c>
      <c r="H507" t="s">
        <v>1119</v>
      </c>
      <c r="I507" t="s">
        <v>1120</v>
      </c>
      <c r="J507" t="str">
        <f t="shared" si="54"/>
        <v>080601</v>
      </c>
      <c r="K507" t="s">
        <v>22</v>
      </c>
      <c r="L507" t="s">
        <v>23</v>
      </c>
      <c r="M507" t="str">
        <f t="shared" si="53"/>
        <v>1</v>
      </c>
      <c r="O507" t="str">
        <f t="shared" si="55"/>
        <v>1 </v>
      </c>
      <c r="P507">
        <v>19.5</v>
      </c>
      <c r="Q507" t="s">
        <v>24</v>
      </c>
    </row>
    <row r="508" spans="1:17" ht="15">
      <c r="A508" t="s">
        <v>17</v>
      </c>
      <c r="B508" s="1">
        <v>41831</v>
      </c>
      <c r="C508" t="s">
        <v>191</v>
      </c>
      <c r="D508" t="str">
        <f>CONCATENATE("0040012431","")</f>
        <v>0040012431</v>
      </c>
      <c r="E508" t="str">
        <f>CONCATENATE("0060143000665       ","")</f>
        <v>0060143000665       </v>
      </c>
      <c r="F508" t="str">
        <f>CONCATENATE("00007550960","")</f>
        <v>00007550960</v>
      </c>
      <c r="G508" t="s">
        <v>1118</v>
      </c>
      <c r="H508" t="s">
        <v>1121</v>
      </c>
      <c r="I508" t="s">
        <v>1122</v>
      </c>
      <c r="J508" t="str">
        <f t="shared" si="54"/>
        <v>080601</v>
      </c>
      <c r="K508" t="s">
        <v>22</v>
      </c>
      <c r="L508" t="s">
        <v>23</v>
      </c>
      <c r="M508" t="str">
        <f t="shared" si="53"/>
        <v>1</v>
      </c>
      <c r="O508" t="str">
        <f t="shared" si="55"/>
        <v>1 </v>
      </c>
      <c r="P508">
        <v>11.5</v>
      </c>
      <c r="Q508" t="s">
        <v>24</v>
      </c>
    </row>
    <row r="509" spans="1:17" ht="15">
      <c r="A509" t="s">
        <v>17</v>
      </c>
      <c r="B509" s="1">
        <v>41831</v>
      </c>
      <c r="C509" t="s">
        <v>191</v>
      </c>
      <c r="D509" t="str">
        <f>CONCATENATE("0040005672","")</f>
        <v>0040005672</v>
      </c>
      <c r="E509" t="str">
        <f>CONCATENATE("0060143000970       ","")</f>
        <v>0060143000970       </v>
      </c>
      <c r="F509" t="str">
        <f>CONCATENATE("2189166","")</f>
        <v>2189166</v>
      </c>
      <c r="G509" t="s">
        <v>1118</v>
      </c>
      <c r="H509" t="s">
        <v>1123</v>
      </c>
      <c r="I509" t="s">
        <v>1124</v>
      </c>
      <c r="J509" t="str">
        <f t="shared" si="54"/>
        <v>080601</v>
      </c>
      <c r="K509" t="s">
        <v>22</v>
      </c>
      <c r="L509" t="s">
        <v>23</v>
      </c>
      <c r="M509" t="str">
        <f t="shared" si="53"/>
        <v>1</v>
      </c>
      <c r="O509" t="str">
        <f t="shared" si="55"/>
        <v>1 </v>
      </c>
      <c r="P509">
        <v>18.5</v>
      </c>
      <c r="Q509" t="s">
        <v>24</v>
      </c>
    </row>
    <row r="510" spans="1:17" ht="15">
      <c r="A510" t="s">
        <v>17</v>
      </c>
      <c r="B510" s="1">
        <v>41831</v>
      </c>
      <c r="C510" t="s">
        <v>191</v>
      </c>
      <c r="D510" t="str">
        <f>CONCATENATE("0040005678","")</f>
        <v>0040005678</v>
      </c>
      <c r="E510" t="str">
        <f>CONCATENATE("0060143001120       ","")</f>
        <v>0060143001120       </v>
      </c>
      <c r="F510" t="str">
        <f>CONCATENATE("605396815","")</f>
        <v>605396815</v>
      </c>
      <c r="G510" t="s">
        <v>1118</v>
      </c>
      <c r="H510" t="s">
        <v>1125</v>
      </c>
      <c r="I510" t="s">
        <v>1124</v>
      </c>
      <c r="J510" t="str">
        <f t="shared" si="54"/>
        <v>080601</v>
      </c>
      <c r="K510" t="s">
        <v>22</v>
      </c>
      <c r="L510" t="s">
        <v>23</v>
      </c>
      <c r="M510" t="str">
        <f t="shared" si="53"/>
        <v>1</v>
      </c>
      <c r="O510" t="str">
        <f t="shared" si="55"/>
        <v>1 </v>
      </c>
      <c r="P510">
        <v>10.65</v>
      </c>
      <c r="Q510" t="s">
        <v>24</v>
      </c>
    </row>
    <row r="511" spans="1:17" ht="15">
      <c r="A511" t="s">
        <v>17</v>
      </c>
      <c r="B511" s="1">
        <v>41831</v>
      </c>
      <c r="C511" t="s">
        <v>1126</v>
      </c>
      <c r="D511" t="str">
        <f>CONCATENATE("0040008576","")</f>
        <v>0040008576</v>
      </c>
      <c r="E511" t="str">
        <f>CONCATENATE("0060144000080       ","")</f>
        <v>0060144000080       </v>
      </c>
      <c r="F511" t="str">
        <f>CONCATENATE("05477617","")</f>
        <v>05477617</v>
      </c>
      <c r="G511" t="s">
        <v>1127</v>
      </c>
      <c r="H511" t="s">
        <v>1128</v>
      </c>
      <c r="I511" t="s">
        <v>1129</v>
      </c>
      <c r="J511" t="str">
        <f aca="true" t="shared" si="56" ref="J511:J516">CONCATENATE("080606","")</f>
        <v>080606</v>
      </c>
      <c r="K511" t="s">
        <v>22</v>
      </c>
      <c r="L511" t="s">
        <v>23</v>
      </c>
      <c r="M511" t="str">
        <f t="shared" si="53"/>
        <v>1</v>
      </c>
      <c r="O511" t="str">
        <f>CONCATENATE("3 ","")</f>
        <v>3 </v>
      </c>
      <c r="P511">
        <v>25.05</v>
      </c>
      <c r="Q511" t="s">
        <v>24</v>
      </c>
    </row>
    <row r="512" spans="1:17" ht="15">
      <c r="A512" t="s">
        <v>17</v>
      </c>
      <c r="B512" s="1">
        <v>41831</v>
      </c>
      <c r="C512" t="s">
        <v>1126</v>
      </c>
      <c r="D512" t="str">
        <f>CONCATENATE("0040008571","")</f>
        <v>0040008571</v>
      </c>
      <c r="E512" t="str">
        <f>CONCATENATE("0060144000160       ","")</f>
        <v>0060144000160       </v>
      </c>
      <c r="F512" t="str">
        <f>CONCATENATE("605628789","")</f>
        <v>605628789</v>
      </c>
      <c r="G512" t="s">
        <v>1127</v>
      </c>
      <c r="H512" t="s">
        <v>1130</v>
      </c>
      <c r="I512" t="s">
        <v>1131</v>
      </c>
      <c r="J512" t="str">
        <f t="shared" si="56"/>
        <v>080606</v>
      </c>
      <c r="K512" t="s">
        <v>22</v>
      </c>
      <c r="L512" t="s">
        <v>23</v>
      </c>
      <c r="M512" t="str">
        <f t="shared" si="53"/>
        <v>1</v>
      </c>
      <c r="O512" t="str">
        <f>CONCATENATE("2 ","")</f>
        <v>2 </v>
      </c>
      <c r="P512">
        <v>20.85</v>
      </c>
      <c r="Q512" t="s">
        <v>24</v>
      </c>
    </row>
    <row r="513" spans="1:17" ht="15">
      <c r="A513" t="s">
        <v>17</v>
      </c>
      <c r="B513" s="1">
        <v>41831</v>
      </c>
      <c r="C513" t="s">
        <v>1126</v>
      </c>
      <c r="D513" t="str">
        <f>CONCATENATE("0040023413","")</f>
        <v>0040023413</v>
      </c>
      <c r="E513" t="str">
        <f>CONCATENATE("0060144000401       ","")</f>
        <v>0060144000401       </v>
      </c>
      <c r="F513" t="str">
        <f>CONCATENATE("1944383","")</f>
        <v>1944383</v>
      </c>
      <c r="G513" t="s">
        <v>1127</v>
      </c>
      <c r="H513" t="s">
        <v>1132</v>
      </c>
      <c r="I513" t="s">
        <v>1133</v>
      </c>
      <c r="J513" t="str">
        <f t="shared" si="56"/>
        <v>080606</v>
      </c>
      <c r="K513" t="s">
        <v>22</v>
      </c>
      <c r="L513" t="s">
        <v>23</v>
      </c>
      <c r="M513" t="str">
        <f t="shared" si="53"/>
        <v>1</v>
      </c>
      <c r="O513" t="str">
        <f>CONCATENATE("2 ","")</f>
        <v>2 </v>
      </c>
      <c r="P513">
        <v>17.8</v>
      </c>
      <c r="Q513" t="s">
        <v>24</v>
      </c>
    </row>
    <row r="514" spans="1:17" ht="15">
      <c r="A514" t="s">
        <v>17</v>
      </c>
      <c r="B514" s="1">
        <v>41831</v>
      </c>
      <c r="C514" t="s">
        <v>1126</v>
      </c>
      <c r="D514" t="str">
        <f>CONCATENATE("0040008577","")</f>
        <v>0040008577</v>
      </c>
      <c r="E514" t="str">
        <f>CONCATENATE("0060144000420       ","")</f>
        <v>0060144000420       </v>
      </c>
      <c r="F514" t="str">
        <f>CONCATENATE("605351749","")</f>
        <v>605351749</v>
      </c>
      <c r="G514" t="s">
        <v>1127</v>
      </c>
      <c r="H514" t="s">
        <v>1134</v>
      </c>
      <c r="I514" t="s">
        <v>1135</v>
      </c>
      <c r="J514" t="str">
        <f t="shared" si="56"/>
        <v>080606</v>
      </c>
      <c r="K514" t="s">
        <v>22</v>
      </c>
      <c r="L514" t="s">
        <v>23</v>
      </c>
      <c r="M514" t="str">
        <f t="shared" si="53"/>
        <v>1</v>
      </c>
      <c r="O514" t="str">
        <f aca="true" t="shared" si="57" ref="O514:O523">CONCATENATE("1 ","")</f>
        <v>1 </v>
      </c>
      <c r="P514">
        <v>15.45</v>
      </c>
      <c r="Q514" t="s">
        <v>24</v>
      </c>
    </row>
    <row r="515" spans="1:17" ht="15">
      <c r="A515" t="s">
        <v>17</v>
      </c>
      <c r="B515" s="1">
        <v>41831</v>
      </c>
      <c r="C515" t="s">
        <v>1126</v>
      </c>
      <c r="D515" t="str">
        <f>CONCATENATE("0040023579","")</f>
        <v>0040023579</v>
      </c>
      <c r="E515" t="str">
        <f>CONCATENATE("0060144004017       ","")</f>
        <v>0060144004017       </v>
      </c>
      <c r="F515" t="str">
        <f>CONCATENATE("1936267","")</f>
        <v>1936267</v>
      </c>
      <c r="G515" t="s">
        <v>1127</v>
      </c>
      <c r="H515" t="s">
        <v>1136</v>
      </c>
      <c r="I515" t="s">
        <v>1133</v>
      </c>
      <c r="J515" t="str">
        <f t="shared" si="56"/>
        <v>080606</v>
      </c>
      <c r="K515" t="s">
        <v>22</v>
      </c>
      <c r="L515" t="s">
        <v>23</v>
      </c>
      <c r="M515" t="str">
        <f t="shared" si="53"/>
        <v>1</v>
      </c>
      <c r="O515" t="str">
        <f t="shared" si="57"/>
        <v>1 </v>
      </c>
      <c r="P515">
        <v>11.5</v>
      </c>
      <c r="Q515" t="s">
        <v>24</v>
      </c>
    </row>
    <row r="516" spans="1:17" ht="15">
      <c r="A516" t="s">
        <v>17</v>
      </c>
      <c r="B516" s="1">
        <v>41831</v>
      </c>
      <c r="C516" t="s">
        <v>1126</v>
      </c>
      <c r="D516" t="str">
        <f>CONCATENATE("0040030310","")</f>
        <v>0040030310</v>
      </c>
      <c r="E516" t="str">
        <f>CONCATENATE("0060144004030       ","")</f>
        <v>0060144004030       </v>
      </c>
      <c r="F516" t="str">
        <f>CONCATENATE("2188109","")</f>
        <v>2188109</v>
      </c>
      <c r="G516" t="s">
        <v>1137</v>
      </c>
      <c r="H516" t="s">
        <v>1138</v>
      </c>
      <c r="I516" t="s">
        <v>1139</v>
      </c>
      <c r="J516" t="str">
        <f t="shared" si="56"/>
        <v>080606</v>
      </c>
      <c r="K516" t="s">
        <v>22</v>
      </c>
      <c r="L516" t="s">
        <v>23</v>
      </c>
      <c r="M516" t="str">
        <f t="shared" si="53"/>
        <v>1</v>
      </c>
      <c r="O516" t="str">
        <f t="shared" si="57"/>
        <v>1 </v>
      </c>
      <c r="P516">
        <v>13.5</v>
      </c>
      <c r="Q516" t="s">
        <v>24</v>
      </c>
    </row>
    <row r="517" spans="1:17" ht="15">
      <c r="A517" t="s">
        <v>17</v>
      </c>
      <c r="B517" s="1">
        <v>41831</v>
      </c>
      <c r="C517" t="s">
        <v>191</v>
      </c>
      <c r="D517" t="str">
        <f>CONCATENATE("0040005705","")</f>
        <v>0040005705</v>
      </c>
      <c r="E517" t="str">
        <f>CONCATENATE("0060145000230       ","")</f>
        <v>0060145000230       </v>
      </c>
      <c r="F517" t="str">
        <f>CONCATENATE("605083079","")</f>
        <v>605083079</v>
      </c>
      <c r="G517" t="s">
        <v>1140</v>
      </c>
      <c r="H517" t="s">
        <v>1141</v>
      </c>
      <c r="I517" t="s">
        <v>1142</v>
      </c>
      <c r="J517" t="str">
        <f aca="true" t="shared" si="58" ref="J517:J541">CONCATENATE("080601","")</f>
        <v>080601</v>
      </c>
      <c r="K517" t="s">
        <v>22</v>
      </c>
      <c r="L517" t="s">
        <v>23</v>
      </c>
      <c r="M517" t="str">
        <f t="shared" si="53"/>
        <v>1</v>
      </c>
      <c r="O517" t="str">
        <f t="shared" si="57"/>
        <v>1 </v>
      </c>
      <c r="P517">
        <v>23.75</v>
      </c>
      <c r="Q517" t="s">
        <v>24</v>
      </c>
    </row>
    <row r="518" spans="1:17" ht="15">
      <c r="A518" t="s">
        <v>17</v>
      </c>
      <c r="B518" s="1">
        <v>41831</v>
      </c>
      <c r="C518" t="s">
        <v>191</v>
      </c>
      <c r="D518" t="str">
        <f>CONCATENATE("0040005738","")</f>
        <v>0040005738</v>
      </c>
      <c r="E518" t="str">
        <f>CONCATENATE("0060145000630       ","")</f>
        <v>0060145000630       </v>
      </c>
      <c r="F518" t="str">
        <f>CONCATENATE("606030580","")</f>
        <v>606030580</v>
      </c>
      <c r="G518" t="s">
        <v>1140</v>
      </c>
      <c r="H518" t="s">
        <v>1143</v>
      </c>
      <c r="I518" t="s">
        <v>1144</v>
      </c>
      <c r="J518" t="str">
        <f t="shared" si="58"/>
        <v>080601</v>
      </c>
      <c r="K518" t="s">
        <v>22</v>
      </c>
      <c r="L518" t="s">
        <v>23</v>
      </c>
      <c r="M518" t="str">
        <f t="shared" si="53"/>
        <v>1</v>
      </c>
      <c r="O518" t="str">
        <f t="shared" si="57"/>
        <v>1 </v>
      </c>
      <c r="P518">
        <v>11.25</v>
      </c>
      <c r="Q518" t="s">
        <v>24</v>
      </c>
    </row>
    <row r="519" spans="1:17" ht="15">
      <c r="A519" t="s">
        <v>17</v>
      </c>
      <c r="B519" s="1">
        <v>41831</v>
      </c>
      <c r="C519" t="s">
        <v>191</v>
      </c>
      <c r="D519" t="str">
        <f>CONCATENATE("0040005796","")</f>
        <v>0040005796</v>
      </c>
      <c r="E519" t="str">
        <f>CONCATENATE("0060145001410       ","")</f>
        <v>0060145001410       </v>
      </c>
      <c r="F519" t="str">
        <f>CONCATENATE("605351292","")</f>
        <v>605351292</v>
      </c>
      <c r="G519" t="s">
        <v>1140</v>
      </c>
      <c r="H519" t="s">
        <v>1145</v>
      </c>
      <c r="I519" t="s">
        <v>1146</v>
      </c>
      <c r="J519" t="str">
        <f t="shared" si="58"/>
        <v>080601</v>
      </c>
      <c r="K519" t="s">
        <v>22</v>
      </c>
      <c r="L519" t="s">
        <v>23</v>
      </c>
      <c r="M519" t="str">
        <f t="shared" si="53"/>
        <v>1</v>
      </c>
      <c r="O519" t="str">
        <f t="shared" si="57"/>
        <v>1 </v>
      </c>
      <c r="P519">
        <v>19.5</v>
      </c>
      <c r="Q519" t="s">
        <v>24</v>
      </c>
    </row>
    <row r="520" spans="1:17" ht="15">
      <c r="A520" t="s">
        <v>17</v>
      </c>
      <c r="B520" s="1">
        <v>41831</v>
      </c>
      <c r="C520" t="s">
        <v>191</v>
      </c>
      <c r="D520" t="str">
        <f>CONCATENATE("0040008924","")</f>
        <v>0040008924</v>
      </c>
      <c r="E520" t="str">
        <f>CONCATENATE("0060146000110       ","")</f>
        <v>0060146000110       </v>
      </c>
      <c r="F520" t="str">
        <f>CONCATENATE("605121465","")</f>
        <v>605121465</v>
      </c>
      <c r="G520" t="s">
        <v>1147</v>
      </c>
      <c r="H520" t="s">
        <v>1148</v>
      </c>
      <c r="I520" t="s">
        <v>1149</v>
      </c>
      <c r="J520" t="str">
        <f t="shared" si="58"/>
        <v>080601</v>
      </c>
      <c r="K520" t="s">
        <v>22</v>
      </c>
      <c r="L520" t="s">
        <v>23</v>
      </c>
      <c r="M520" t="str">
        <f aca="true" t="shared" si="59" ref="M520:M530">CONCATENATE("1","")</f>
        <v>1</v>
      </c>
      <c r="O520" t="str">
        <f t="shared" si="57"/>
        <v>1 </v>
      </c>
      <c r="P520">
        <v>31.75</v>
      </c>
      <c r="Q520" t="s">
        <v>24</v>
      </c>
    </row>
    <row r="521" spans="1:17" ht="15">
      <c r="A521" t="s">
        <v>17</v>
      </c>
      <c r="B521" s="1">
        <v>41831</v>
      </c>
      <c r="C521" t="s">
        <v>191</v>
      </c>
      <c r="D521" t="str">
        <f>CONCATENATE("0040009192","")</f>
        <v>0040009192</v>
      </c>
      <c r="E521" t="str">
        <f>CONCATENATE("0060146000640       ","")</f>
        <v>0060146000640       </v>
      </c>
      <c r="F521" t="str">
        <f>CONCATENATE("0606034400","")</f>
        <v>0606034400</v>
      </c>
      <c r="G521" t="s">
        <v>1147</v>
      </c>
      <c r="H521" t="s">
        <v>1150</v>
      </c>
      <c r="I521" t="s">
        <v>1151</v>
      </c>
      <c r="J521" t="str">
        <f t="shared" si="58"/>
        <v>080601</v>
      </c>
      <c r="K521" t="s">
        <v>22</v>
      </c>
      <c r="L521" t="s">
        <v>23</v>
      </c>
      <c r="M521" t="str">
        <f t="shared" si="59"/>
        <v>1</v>
      </c>
      <c r="O521" t="str">
        <f t="shared" si="57"/>
        <v>1 </v>
      </c>
      <c r="P521">
        <v>7.8</v>
      </c>
      <c r="Q521" t="s">
        <v>24</v>
      </c>
    </row>
    <row r="522" spans="1:17" ht="15">
      <c r="A522" t="s">
        <v>17</v>
      </c>
      <c r="B522" s="1">
        <v>41831</v>
      </c>
      <c r="C522" t="s">
        <v>191</v>
      </c>
      <c r="D522" t="str">
        <f>CONCATENATE("0040011626","")</f>
        <v>0040011626</v>
      </c>
      <c r="E522" t="str">
        <f>CONCATENATE("0060149000060       ","")</f>
        <v>0060149000060       </v>
      </c>
      <c r="F522" t="str">
        <f>CONCATENATE("07590163","")</f>
        <v>07590163</v>
      </c>
      <c r="G522" t="s">
        <v>1152</v>
      </c>
      <c r="H522" t="s">
        <v>1153</v>
      </c>
      <c r="I522" t="s">
        <v>1154</v>
      </c>
      <c r="J522" t="str">
        <f t="shared" si="58"/>
        <v>080601</v>
      </c>
      <c r="K522" t="s">
        <v>22</v>
      </c>
      <c r="L522" t="s">
        <v>23</v>
      </c>
      <c r="M522" t="str">
        <f t="shared" si="59"/>
        <v>1</v>
      </c>
      <c r="O522" t="str">
        <f t="shared" si="57"/>
        <v>1 </v>
      </c>
      <c r="P522">
        <v>15.75</v>
      </c>
      <c r="Q522" t="s">
        <v>24</v>
      </c>
    </row>
    <row r="523" spans="1:17" ht="15">
      <c r="A523" t="s">
        <v>17</v>
      </c>
      <c r="B523" s="1">
        <v>41831</v>
      </c>
      <c r="C523" t="s">
        <v>191</v>
      </c>
      <c r="D523" t="str">
        <f>CONCATENATE("0040011630","")</f>
        <v>0040011630</v>
      </c>
      <c r="E523" t="str">
        <f>CONCATENATE("0060149000140       ","")</f>
        <v>0060149000140       </v>
      </c>
      <c r="F523" t="str">
        <f>CONCATENATE("07590152","")</f>
        <v>07590152</v>
      </c>
      <c r="G523" t="s">
        <v>1152</v>
      </c>
      <c r="H523" t="s">
        <v>1155</v>
      </c>
      <c r="I523" t="s">
        <v>1154</v>
      </c>
      <c r="J523" t="str">
        <f t="shared" si="58"/>
        <v>080601</v>
      </c>
      <c r="K523" t="s">
        <v>22</v>
      </c>
      <c r="L523" t="s">
        <v>23</v>
      </c>
      <c r="M523" t="str">
        <f t="shared" si="59"/>
        <v>1</v>
      </c>
      <c r="O523" t="str">
        <f t="shared" si="57"/>
        <v>1 </v>
      </c>
      <c r="P523">
        <v>13.1</v>
      </c>
      <c r="Q523" t="s">
        <v>24</v>
      </c>
    </row>
    <row r="524" spans="1:17" ht="15">
      <c r="A524" t="s">
        <v>17</v>
      </c>
      <c r="B524" s="1">
        <v>41831</v>
      </c>
      <c r="C524" t="s">
        <v>191</v>
      </c>
      <c r="D524" t="str">
        <f>CONCATENATE("0040011700","")</f>
        <v>0040011700</v>
      </c>
      <c r="E524" t="str">
        <f>CONCATENATE("0060149000470       ","")</f>
        <v>0060149000470       </v>
      </c>
      <c r="F524" t="str">
        <f>CONCATENATE("07588923","")</f>
        <v>07588923</v>
      </c>
      <c r="G524" t="s">
        <v>1152</v>
      </c>
      <c r="H524" t="s">
        <v>1156</v>
      </c>
      <c r="I524" t="s">
        <v>1154</v>
      </c>
      <c r="J524" t="str">
        <f t="shared" si="58"/>
        <v>080601</v>
      </c>
      <c r="K524" t="s">
        <v>22</v>
      </c>
      <c r="L524" t="s">
        <v>23</v>
      </c>
      <c r="M524" t="str">
        <f t="shared" si="59"/>
        <v>1</v>
      </c>
      <c r="O524" t="str">
        <f>CONCATENATE("3 ","")</f>
        <v>3 </v>
      </c>
      <c r="P524">
        <v>23.2</v>
      </c>
      <c r="Q524" t="s">
        <v>24</v>
      </c>
    </row>
    <row r="525" spans="1:17" ht="15">
      <c r="A525" t="s">
        <v>17</v>
      </c>
      <c r="B525" s="1">
        <v>41831</v>
      </c>
      <c r="C525" t="s">
        <v>191</v>
      </c>
      <c r="D525" t="str">
        <f>CONCATENATE("0040011683","")</f>
        <v>0040011683</v>
      </c>
      <c r="E525" t="str">
        <f>CONCATENATE("0060149001040       ","")</f>
        <v>0060149001040       </v>
      </c>
      <c r="F525" t="str">
        <f>CONCATENATE("07589331","")</f>
        <v>07589331</v>
      </c>
      <c r="G525" t="s">
        <v>1152</v>
      </c>
      <c r="H525" t="s">
        <v>1157</v>
      </c>
      <c r="I525" t="s">
        <v>1154</v>
      </c>
      <c r="J525" t="str">
        <f t="shared" si="58"/>
        <v>080601</v>
      </c>
      <c r="K525" t="s">
        <v>22</v>
      </c>
      <c r="L525" t="s">
        <v>23</v>
      </c>
      <c r="M525" t="str">
        <f t="shared" si="59"/>
        <v>1</v>
      </c>
      <c r="O525" t="str">
        <f>CONCATENATE("1 ","")</f>
        <v>1 </v>
      </c>
      <c r="P525">
        <v>71.9</v>
      </c>
      <c r="Q525" t="s">
        <v>24</v>
      </c>
    </row>
    <row r="526" spans="1:17" ht="15">
      <c r="A526" t="s">
        <v>17</v>
      </c>
      <c r="B526" s="1">
        <v>41831</v>
      </c>
      <c r="C526" t="s">
        <v>191</v>
      </c>
      <c r="D526" t="str">
        <f>CONCATENATE("0040014353","")</f>
        <v>0040014353</v>
      </c>
      <c r="E526" t="str">
        <f>CONCATENATE("0060149001250       ","")</f>
        <v>0060149001250       </v>
      </c>
      <c r="F526" t="str">
        <f>CONCATENATE("07590099","")</f>
        <v>07590099</v>
      </c>
      <c r="G526" t="s">
        <v>1152</v>
      </c>
      <c r="H526" t="s">
        <v>1158</v>
      </c>
      <c r="I526" t="s">
        <v>1159</v>
      </c>
      <c r="J526" t="str">
        <f t="shared" si="58"/>
        <v>080601</v>
      </c>
      <c r="K526" t="s">
        <v>22</v>
      </c>
      <c r="L526" t="s">
        <v>23</v>
      </c>
      <c r="M526" t="str">
        <f t="shared" si="59"/>
        <v>1</v>
      </c>
      <c r="O526" t="str">
        <f>CONCATENATE("3 ","")</f>
        <v>3 </v>
      </c>
      <c r="P526">
        <v>23.15</v>
      </c>
      <c r="Q526" t="s">
        <v>24</v>
      </c>
    </row>
    <row r="527" spans="1:17" ht="15">
      <c r="A527" t="s">
        <v>17</v>
      </c>
      <c r="B527" s="1">
        <v>41831</v>
      </c>
      <c r="C527" t="s">
        <v>191</v>
      </c>
      <c r="D527" t="str">
        <f>CONCATENATE("0040012441","")</f>
        <v>0040012441</v>
      </c>
      <c r="E527" t="str">
        <f>CONCATENATE("0060149007027       ","")</f>
        <v>0060149007027       </v>
      </c>
      <c r="F527" t="str">
        <f>CONCATENATE("07550871","")</f>
        <v>07550871</v>
      </c>
      <c r="G527" t="s">
        <v>1160</v>
      </c>
      <c r="H527" t="s">
        <v>1161</v>
      </c>
      <c r="I527" t="s">
        <v>1162</v>
      </c>
      <c r="J527" t="str">
        <f t="shared" si="58"/>
        <v>080601</v>
      </c>
      <c r="K527" t="s">
        <v>22</v>
      </c>
      <c r="L527" t="s">
        <v>23</v>
      </c>
      <c r="M527" t="str">
        <f t="shared" si="59"/>
        <v>1</v>
      </c>
      <c r="O527" t="str">
        <f aca="true" t="shared" si="60" ref="O527:O545">CONCATENATE("1 ","")</f>
        <v>1 </v>
      </c>
      <c r="P527">
        <v>24.55</v>
      </c>
      <c r="Q527" t="s">
        <v>24</v>
      </c>
    </row>
    <row r="528" spans="1:17" ht="15">
      <c r="A528" t="s">
        <v>17</v>
      </c>
      <c r="B528" s="1">
        <v>41831</v>
      </c>
      <c r="C528" t="s">
        <v>191</v>
      </c>
      <c r="D528" t="str">
        <f>CONCATENATE("0040005819","")</f>
        <v>0040005819</v>
      </c>
      <c r="E528" t="str">
        <f>CONCATENATE("0060150000160       ","")</f>
        <v>0060150000160       </v>
      </c>
      <c r="F528" t="str">
        <f>CONCATENATE("7433453","")</f>
        <v>7433453</v>
      </c>
      <c r="G528" t="s">
        <v>1163</v>
      </c>
      <c r="H528" t="s">
        <v>1164</v>
      </c>
      <c r="I528" t="s">
        <v>1165</v>
      </c>
      <c r="J528" t="str">
        <f t="shared" si="58"/>
        <v>080601</v>
      </c>
      <c r="K528" t="s">
        <v>22</v>
      </c>
      <c r="L528" t="s">
        <v>23</v>
      </c>
      <c r="M528" t="str">
        <f t="shared" si="59"/>
        <v>1</v>
      </c>
      <c r="O528" t="str">
        <f t="shared" si="60"/>
        <v>1 </v>
      </c>
      <c r="P528">
        <v>15.1</v>
      </c>
      <c r="Q528" t="s">
        <v>24</v>
      </c>
    </row>
    <row r="529" spans="1:17" ht="15">
      <c r="A529" t="s">
        <v>17</v>
      </c>
      <c r="B529" s="1">
        <v>41831</v>
      </c>
      <c r="C529" t="s">
        <v>191</v>
      </c>
      <c r="D529" t="str">
        <f>CONCATENATE("0040005820","")</f>
        <v>0040005820</v>
      </c>
      <c r="E529" t="str">
        <f>CONCATENATE("0060150000170       ","")</f>
        <v>0060150000170       </v>
      </c>
      <c r="F529" t="str">
        <f>CONCATENATE("649670","")</f>
        <v>649670</v>
      </c>
      <c r="G529" t="s">
        <v>1163</v>
      </c>
      <c r="H529" t="s">
        <v>1166</v>
      </c>
      <c r="I529" t="s">
        <v>1165</v>
      </c>
      <c r="J529" t="str">
        <f t="shared" si="58"/>
        <v>080601</v>
      </c>
      <c r="K529" t="s">
        <v>22</v>
      </c>
      <c r="L529" t="s">
        <v>23</v>
      </c>
      <c r="M529" t="str">
        <f t="shared" si="59"/>
        <v>1</v>
      </c>
      <c r="O529" t="str">
        <f t="shared" si="60"/>
        <v>1 </v>
      </c>
      <c r="P529">
        <v>66.65</v>
      </c>
      <c r="Q529" t="s">
        <v>24</v>
      </c>
    </row>
    <row r="530" spans="1:17" ht="15">
      <c r="A530" t="s">
        <v>17</v>
      </c>
      <c r="B530" s="1">
        <v>41831</v>
      </c>
      <c r="C530" t="s">
        <v>191</v>
      </c>
      <c r="D530" t="str">
        <f>CONCATENATE("0040005841","")</f>
        <v>0040005841</v>
      </c>
      <c r="E530" t="str">
        <f>CONCATENATE("0060150000490       ","")</f>
        <v>0060150000490       </v>
      </c>
      <c r="F530" t="str">
        <f>CONCATENATE("7404405","")</f>
        <v>7404405</v>
      </c>
      <c r="G530" t="s">
        <v>1163</v>
      </c>
      <c r="H530" t="s">
        <v>1167</v>
      </c>
      <c r="I530" t="s">
        <v>1168</v>
      </c>
      <c r="J530" t="str">
        <f t="shared" si="58"/>
        <v>080601</v>
      </c>
      <c r="K530" t="s">
        <v>22</v>
      </c>
      <c r="L530" t="s">
        <v>23</v>
      </c>
      <c r="M530" t="str">
        <f t="shared" si="59"/>
        <v>1</v>
      </c>
      <c r="O530" t="str">
        <f t="shared" si="60"/>
        <v>1 </v>
      </c>
      <c r="P530">
        <v>11.55</v>
      </c>
      <c r="Q530" t="s">
        <v>24</v>
      </c>
    </row>
    <row r="531" spans="1:17" ht="15">
      <c r="A531" t="s">
        <v>17</v>
      </c>
      <c r="B531" s="1">
        <v>41831</v>
      </c>
      <c r="C531" t="s">
        <v>191</v>
      </c>
      <c r="D531" t="str">
        <f>CONCATENATE("0040005861","")</f>
        <v>0040005861</v>
      </c>
      <c r="E531" t="str">
        <f>CONCATENATE("0060150000800       ","")</f>
        <v>0060150000800       </v>
      </c>
      <c r="F531" t="str">
        <f>CONCATENATE("2189450","")</f>
        <v>2189450</v>
      </c>
      <c r="G531" t="s">
        <v>1163</v>
      </c>
      <c r="H531" t="s">
        <v>1169</v>
      </c>
      <c r="I531" t="s">
        <v>1170</v>
      </c>
      <c r="J531" t="str">
        <f t="shared" si="58"/>
        <v>080601</v>
      </c>
      <c r="K531" t="s">
        <v>22</v>
      </c>
      <c r="L531" t="s">
        <v>23</v>
      </c>
      <c r="M531" t="str">
        <f>CONCATENATE("3","")</f>
        <v>3</v>
      </c>
      <c r="O531" t="str">
        <f t="shared" si="60"/>
        <v>1 </v>
      </c>
      <c r="P531">
        <v>27.25</v>
      </c>
      <c r="Q531" t="s">
        <v>24</v>
      </c>
    </row>
    <row r="532" spans="1:17" ht="15">
      <c r="A532" t="s">
        <v>17</v>
      </c>
      <c r="B532" s="1">
        <v>41831</v>
      </c>
      <c r="C532" t="s">
        <v>191</v>
      </c>
      <c r="D532" t="str">
        <f>CONCATENATE("0040009417","")</f>
        <v>0040009417</v>
      </c>
      <c r="E532" t="str">
        <f>CONCATENATE("0060150001150       ","")</f>
        <v>0060150001150       </v>
      </c>
      <c r="F532" t="str">
        <f>CONCATENATE("605398937","")</f>
        <v>605398937</v>
      </c>
      <c r="G532" t="s">
        <v>1163</v>
      </c>
      <c r="H532" t="s">
        <v>1171</v>
      </c>
      <c r="I532" t="s">
        <v>1170</v>
      </c>
      <c r="J532" t="str">
        <f t="shared" si="58"/>
        <v>080601</v>
      </c>
      <c r="K532" t="s">
        <v>22</v>
      </c>
      <c r="L532" t="s">
        <v>23</v>
      </c>
      <c r="M532" t="str">
        <f aca="true" t="shared" si="61" ref="M532:M551">CONCATENATE("1","")</f>
        <v>1</v>
      </c>
      <c r="O532" t="str">
        <f t="shared" si="60"/>
        <v>1 </v>
      </c>
      <c r="P532">
        <v>10.65</v>
      </c>
      <c r="Q532" t="s">
        <v>24</v>
      </c>
    </row>
    <row r="533" spans="1:17" ht="15">
      <c r="A533" t="s">
        <v>17</v>
      </c>
      <c r="B533" s="1">
        <v>41831</v>
      </c>
      <c r="C533" t="s">
        <v>191</v>
      </c>
      <c r="D533" t="str">
        <f>CONCATENATE("0040005919","")</f>
        <v>0040005919</v>
      </c>
      <c r="E533" t="str">
        <f>CONCATENATE("0060152000500       ","")</f>
        <v>0060152000500       </v>
      </c>
      <c r="F533" t="str">
        <f>CONCATENATE("605396823","")</f>
        <v>605396823</v>
      </c>
      <c r="G533" t="s">
        <v>1172</v>
      </c>
      <c r="H533" t="s">
        <v>1173</v>
      </c>
      <c r="I533" t="s">
        <v>1174</v>
      </c>
      <c r="J533" t="str">
        <f t="shared" si="58"/>
        <v>080601</v>
      </c>
      <c r="K533" t="s">
        <v>22</v>
      </c>
      <c r="L533" t="s">
        <v>23</v>
      </c>
      <c r="M533" t="str">
        <f t="shared" si="61"/>
        <v>1</v>
      </c>
      <c r="O533" t="str">
        <f t="shared" si="60"/>
        <v>1 </v>
      </c>
      <c r="P533">
        <v>18.85</v>
      </c>
      <c r="Q533" t="s">
        <v>24</v>
      </c>
    </row>
    <row r="534" spans="1:17" ht="15">
      <c r="A534" t="s">
        <v>17</v>
      </c>
      <c r="B534" s="1">
        <v>41831</v>
      </c>
      <c r="C534" t="s">
        <v>191</v>
      </c>
      <c r="D534" t="str">
        <f>CONCATENATE("0040005936","")</f>
        <v>0040005936</v>
      </c>
      <c r="E534" t="str">
        <f>CONCATENATE("0060152000770       ","")</f>
        <v>0060152000770       </v>
      </c>
      <c r="F534" t="str">
        <f>CONCATENATE("0606594050","")</f>
        <v>0606594050</v>
      </c>
      <c r="G534" t="s">
        <v>1172</v>
      </c>
      <c r="H534" t="s">
        <v>1175</v>
      </c>
      <c r="I534" t="s">
        <v>1176</v>
      </c>
      <c r="J534" t="str">
        <f t="shared" si="58"/>
        <v>080601</v>
      </c>
      <c r="K534" t="s">
        <v>22</v>
      </c>
      <c r="L534" t="s">
        <v>23</v>
      </c>
      <c r="M534" t="str">
        <f t="shared" si="61"/>
        <v>1</v>
      </c>
      <c r="O534" t="str">
        <f t="shared" si="60"/>
        <v>1 </v>
      </c>
      <c r="P534">
        <v>14.15</v>
      </c>
      <c r="Q534" t="s">
        <v>24</v>
      </c>
    </row>
    <row r="535" spans="1:17" ht="15">
      <c r="A535" t="s">
        <v>17</v>
      </c>
      <c r="B535" s="1">
        <v>41831</v>
      </c>
      <c r="C535" t="s">
        <v>191</v>
      </c>
      <c r="D535" t="str">
        <f>CONCATENATE("0040005956","")</f>
        <v>0040005956</v>
      </c>
      <c r="E535" t="str">
        <f>CONCATENATE("0060152001010       ","")</f>
        <v>0060152001010       </v>
      </c>
      <c r="F535" t="str">
        <f>CONCATENATE("605347985","")</f>
        <v>605347985</v>
      </c>
      <c r="G535" t="s">
        <v>1172</v>
      </c>
      <c r="H535" t="s">
        <v>1177</v>
      </c>
      <c r="I535" t="s">
        <v>1176</v>
      </c>
      <c r="J535" t="str">
        <f t="shared" si="58"/>
        <v>080601</v>
      </c>
      <c r="K535" t="s">
        <v>22</v>
      </c>
      <c r="L535" t="s">
        <v>23</v>
      </c>
      <c r="M535" t="str">
        <f t="shared" si="61"/>
        <v>1</v>
      </c>
      <c r="O535" t="str">
        <f t="shared" si="60"/>
        <v>1 </v>
      </c>
      <c r="P535">
        <v>10.6</v>
      </c>
      <c r="Q535" t="s">
        <v>24</v>
      </c>
    </row>
    <row r="536" spans="1:17" ht="15">
      <c r="A536" t="s">
        <v>17</v>
      </c>
      <c r="B536" s="1">
        <v>41831</v>
      </c>
      <c r="C536" t="s">
        <v>191</v>
      </c>
      <c r="D536" t="str">
        <f>CONCATENATE("0040005973","")</f>
        <v>0040005973</v>
      </c>
      <c r="E536" t="str">
        <f>CONCATENATE("0060152001310       ","")</f>
        <v>0060152001310       </v>
      </c>
      <c r="F536" t="str">
        <f>CONCATENATE("605112775","")</f>
        <v>605112775</v>
      </c>
      <c r="G536" t="s">
        <v>1172</v>
      </c>
      <c r="H536" t="s">
        <v>1178</v>
      </c>
      <c r="I536" t="s">
        <v>1176</v>
      </c>
      <c r="J536" t="str">
        <f t="shared" si="58"/>
        <v>080601</v>
      </c>
      <c r="K536" t="s">
        <v>22</v>
      </c>
      <c r="L536" t="s">
        <v>23</v>
      </c>
      <c r="M536" t="str">
        <f t="shared" si="61"/>
        <v>1</v>
      </c>
      <c r="O536" t="str">
        <f t="shared" si="60"/>
        <v>1 </v>
      </c>
      <c r="P536">
        <v>48.1</v>
      </c>
      <c r="Q536" t="s">
        <v>24</v>
      </c>
    </row>
    <row r="537" spans="1:17" ht="15">
      <c r="A537" t="s">
        <v>17</v>
      </c>
      <c r="B537" s="1">
        <v>41831</v>
      </c>
      <c r="C537" t="s">
        <v>191</v>
      </c>
      <c r="D537" t="str">
        <f>CONCATENATE("0040007573","")</f>
        <v>0040007573</v>
      </c>
      <c r="E537" t="str">
        <f>CONCATENATE("0060152001580       ","")</f>
        <v>0060152001580       </v>
      </c>
      <c r="F537" t="str">
        <f>CONCATENATE("605397653","")</f>
        <v>605397653</v>
      </c>
      <c r="G537" t="s">
        <v>1172</v>
      </c>
      <c r="H537" t="s">
        <v>1179</v>
      </c>
      <c r="I537" t="s">
        <v>1180</v>
      </c>
      <c r="J537" t="str">
        <f t="shared" si="58"/>
        <v>080601</v>
      </c>
      <c r="K537" t="s">
        <v>22</v>
      </c>
      <c r="L537" t="s">
        <v>23</v>
      </c>
      <c r="M537" t="str">
        <f t="shared" si="61"/>
        <v>1</v>
      </c>
      <c r="O537" t="str">
        <f t="shared" si="60"/>
        <v>1 </v>
      </c>
      <c r="P537">
        <v>14.25</v>
      </c>
      <c r="Q537" t="s">
        <v>24</v>
      </c>
    </row>
    <row r="538" spans="1:17" ht="15">
      <c r="A538" t="s">
        <v>17</v>
      </c>
      <c r="B538" s="1">
        <v>41831</v>
      </c>
      <c r="C538" t="s">
        <v>191</v>
      </c>
      <c r="D538" t="str">
        <f>CONCATENATE("0040007964","")</f>
        <v>0040007964</v>
      </c>
      <c r="E538" t="str">
        <f>CONCATENATE("0060155000245       ","")</f>
        <v>0060155000245       </v>
      </c>
      <c r="F538" t="str">
        <f>CONCATENATE("837591","")</f>
        <v>837591</v>
      </c>
      <c r="G538" t="s">
        <v>1181</v>
      </c>
      <c r="H538" t="s">
        <v>1182</v>
      </c>
      <c r="I538" t="s">
        <v>1183</v>
      </c>
      <c r="J538" t="str">
        <f t="shared" si="58"/>
        <v>080601</v>
      </c>
      <c r="K538" t="s">
        <v>22</v>
      </c>
      <c r="L538" t="s">
        <v>23</v>
      </c>
      <c r="M538" t="str">
        <f t="shared" si="61"/>
        <v>1</v>
      </c>
      <c r="O538" t="str">
        <f t="shared" si="60"/>
        <v>1 </v>
      </c>
      <c r="P538">
        <v>11.5</v>
      </c>
      <c r="Q538" t="s">
        <v>24</v>
      </c>
    </row>
    <row r="539" spans="1:17" ht="15">
      <c r="A539" t="s">
        <v>17</v>
      </c>
      <c r="B539" s="1">
        <v>41831</v>
      </c>
      <c r="C539" t="s">
        <v>191</v>
      </c>
      <c r="D539" t="str">
        <f>CONCATENATE("0040007773","")</f>
        <v>0040007773</v>
      </c>
      <c r="E539" t="str">
        <f>CONCATENATE("0060155000520       ","")</f>
        <v>0060155000520       </v>
      </c>
      <c r="F539" t="str">
        <f>CONCATENATE("2184872","")</f>
        <v>2184872</v>
      </c>
      <c r="G539" t="s">
        <v>1181</v>
      </c>
      <c r="H539" t="s">
        <v>1184</v>
      </c>
      <c r="I539" t="s">
        <v>1185</v>
      </c>
      <c r="J539" t="str">
        <f t="shared" si="58"/>
        <v>080601</v>
      </c>
      <c r="K539" t="s">
        <v>22</v>
      </c>
      <c r="L539" t="s">
        <v>23</v>
      </c>
      <c r="M539" t="str">
        <f t="shared" si="61"/>
        <v>1</v>
      </c>
      <c r="O539" t="str">
        <f t="shared" si="60"/>
        <v>1 </v>
      </c>
      <c r="P539">
        <v>10.65</v>
      </c>
      <c r="Q539" t="s">
        <v>24</v>
      </c>
    </row>
    <row r="540" spans="1:17" ht="15">
      <c r="A540" t="s">
        <v>17</v>
      </c>
      <c r="B540" s="1">
        <v>41831</v>
      </c>
      <c r="C540" t="s">
        <v>191</v>
      </c>
      <c r="D540" t="str">
        <f>CONCATENATE("0040011582","")</f>
        <v>0040011582</v>
      </c>
      <c r="E540" t="str">
        <f>CONCATENATE("0060156000116       ","")</f>
        <v>0060156000116       </v>
      </c>
      <c r="F540" t="str">
        <f>CONCATENATE("08327660","")</f>
        <v>08327660</v>
      </c>
      <c r="G540" t="s">
        <v>1186</v>
      </c>
      <c r="H540" t="s">
        <v>1187</v>
      </c>
      <c r="I540" t="s">
        <v>1188</v>
      </c>
      <c r="J540" t="str">
        <f t="shared" si="58"/>
        <v>080601</v>
      </c>
      <c r="K540" t="s">
        <v>22</v>
      </c>
      <c r="L540" t="s">
        <v>23</v>
      </c>
      <c r="M540" t="str">
        <f t="shared" si="61"/>
        <v>1</v>
      </c>
      <c r="O540" t="str">
        <f t="shared" si="60"/>
        <v>1 </v>
      </c>
      <c r="P540">
        <v>11.5</v>
      </c>
      <c r="Q540" t="s">
        <v>24</v>
      </c>
    </row>
    <row r="541" spans="1:17" ht="15">
      <c r="A541" t="s">
        <v>17</v>
      </c>
      <c r="B541" s="1">
        <v>41831</v>
      </c>
      <c r="C541" t="s">
        <v>191</v>
      </c>
      <c r="D541" t="str">
        <f>CONCATENATE("0040013319","")</f>
        <v>0040013319</v>
      </c>
      <c r="E541" t="str">
        <f>CONCATENATE("0060156000305       ","")</f>
        <v>0060156000305       </v>
      </c>
      <c r="F541" t="str">
        <f>CONCATENATE("605752868","")</f>
        <v>605752868</v>
      </c>
      <c r="G541" t="s">
        <v>1186</v>
      </c>
      <c r="H541" t="s">
        <v>1189</v>
      </c>
      <c r="I541" t="s">
        <v>1190</v>
      </c>
      <c r="J541" t="str">
        <f t="shared" si="58"/>
        <v>080601</v>
      </c>
      <c r="K541" t="s">
        <v>22</v>
      </c>
      <c r="L541" t="s">
        <v>23</v>
      </c>
      <c r="M541" t="str">
        <f t="shared" si="61"/>
        <v>1</v>
      </c>
      <c r="O541" t="str">
        <f t="shared" si="60"/>
        <v>1 </v>
      </c>
      <c r="P541">
        <v>10.65</v>
      </c>
      <c r="Q541" t="s">
        <v>24</v>
      </c>
    </row>
    <row r="542" spans="1:17" ht="15">
      <c r="A542" t="s">
        <v>17</v>
      </c>
      <c r="B542" s="1">
        <v>41831</v>
      </c>
      <c r="C542" t="s">
        <v>1126</v>
      </c>
      <c r="D542" t="str">
        <f>CONCATENATE("0040020690","")</f>
        <v>0040020690</v>
      </c>
      <c r="E542" t="str">
        <f>CONCATENATE("0060157002200       ","")</f>
        <v>0060157002200       </v>
      </c>
      <c r="F542" t="str">
        <f>CONCATENATE("605932983","")</f>
        <v>605932983</v>
      </c>
      <c r="G542" t="s">
        <v>1024</v>
      </c>
      <c r="H542" t="s">
        <v>1191</v>
      </c>
      <c r="I542" t="s">
        <v>1192</v>
      </c>
      <c r="J542" t="str">
        <f>CONCATENATE("080606","")</f>
        <v>080606</v>
      </c>
      <c r="K542" t="s">
        <v>22</v>
      </c>
      <c r="L542" t="s">
        <v>23</v>
      </c>
      <c r="M542" t="str">
        <f t="shared" si="61"/>
        <v>1</v>
      </c>
      <c r="O542" t="str">
        <f t="shared" si="60"/>
        <v>1 </v>
      </c>
      <c r="P542">
        <v>11.5</v>
      </c>
      <c r="Q542" t="s">
        <v>24</v>
      </c>
    </row>
    <row r="543" spans="1:17" ht="15">
      <c r="A543" t="s">
        <v>17</v>
      </c>
      <c r="B543" s="1">
        <v>41831</v>
      </c>
      <c r="C543" t="s">
        <v>191</v>
      </c>
      <c r="D543" t="str">
        <f>CONCATENATE("0040023405","")</f>
        <v>0040023405</v>
      </c>
      <c r="E543" t="str">
        <f>CONCATENATE("0060157002211       ","")</f>
        <v>0060157002211       </v>
      </c>
      <c r="F543" t="str">
        <f>CONCATENATE("605932972","")</f>
        <v>605932972</v>
      </c>
      <c r="G543" t="s">
        <v>1024</v>
      </c>
      <c r="H543" t="s">
        <v>1191</v>
      </c>
      <c r="I543" t="s">
        <v>1193</v>
      </c>
      <c r="J543" t="str">
        <f>CONCATENATE("080601","")</f>
        <v>080601</v>
      </c>
      <c r="K543" t="s">
        <v>22</v>
      </c>
      <c r="L543" t="s">
        <v>23</v>
      </c>
      <c r="M543" t="str">
        <f t="shared" si="61"/>
        <v>1</v>
      </c>
      <c r="O543" t="str">
        <f t="shared" si="60"/>
        <v>1 </v>
      </c>
      <c r="P543">
        <v>15.1</v>
      </c>
      <c r="Q543" t="s">
        <v>24</v>
      </c>
    </row>
    <row r="544" spans="1:17" ht="15">
      <c r="A544" t="s">
        <v>17</v>
      </c>
      <c r="B544" s="1">
        <v>41831</v>
      </c>
      <c r="C544" t="s">
        <v>1126</v>
      </c>
      <c r="D544" t="str">
        <f>CONCATENATE("0040016942","")</f>
        <v>0040016942</v>
      </c>
      <c r="E544" t="str">
        <f>CONCATENATE("0060158000050       ","")</f>
        <v>0060158000050       </v>
      </c>
      <c r="F544" t="str">
        <f>CONCATENATE("5523","")</f>
        <v>5523</v>
      </c>
      <c r="G544" t="s">
        <v>1194</v>
      </c>
      <c r="H544" t="s">
        <v>1195</v>
      </c>
      <c r="I544" t="s">
        <v>1196</v>
      </c>
      <c r="J544" t="str">
        <f>CONCATENATE("080606","")</f>
        <v>080606</v>
      </c>
      <c r="K544" t="s">
        <v>22</v>
      </c>
      <c r="L544" t="s">
        <v>23</v>
      </c>
      <c r="M544" t="str">
        <f t="shared" si="61"/>
        <v>1</v>
      </c>
      <c r="O544" t="str">
        <f t="shared" si="60"/>
        <v>1 </v>
      </c>
      <c r="P544">
        <v>24.85</v>
      </c>
      <c r="Q544" t="s">
        <v>24</v>
      </c>
    </row>
    <row r="545" spans="1:17" ht="15">
      <c r="A545" t="s">
        <v>17</v>
      </c>
      <c r="B545" s="1">
        <v>41831</v>
      </c>
      <c r="C545" t="s">
        <v>1197</v>
      </c>
      <c r="D545" t="str">
        <f>CONCATENATE("0040035865","")</f>
        <v>0040035865</v>
      </c>
      <c r="E545" t="str">
        <f>CONCATENATE("0060158000085       ","")</f>
        <v>0060158000085       </v>
      </c>
      <c r="F545" t="str">
        <f>CONCATENATE("0606674079","")</f>
        <v>0606674079</v>
      </c>
      <c r="G545" t="s">
        <v>1194</v>
      </c>
      <c r="H545" t="s">
        <v>1198</v>
      </c>
      <c r="I545" t="s">
        <v>1199</v>
      </c>
      <c r="J545" t="str">
        <f>CONCATENATE("080608","")</f>
        <v>080608</v>
      </c>
      <c r="K545" t="s">
        <v>22</v>
      </c>
      <c r="L545" t="s">
        <v>23</v>
      </c>
      <c r="M545" t="str">
        <f t="shared" si="61"/>
        <v>1</v>
      </c>
      <c r="O545" t="str">
        <f t="shared" si="60"/>
        <v>1 </v>
      </c>
      <c r="P545">
        <v>264.5</v>
      </c>
      <c r="Q545" t="s">
        <v>24</v>
      </c>
    </row>
    <row r="546" spans="1:17" ht="15">
      <c r="A546" t="s">
        <v>17</v>
      </c>
      <c r="B546" s="1">
        <v>41831</v>
      </c>
      <c r="C546" t="s">
        <v>1126</v>
      </c>
      <c r="D546" t="str">
        <f>CONCATENATE("0040033867","")</f>
        <v>0040033867</v>
      </c>
      <c r="E546" t="str">
        <f>CONCATENATE("0060158000110       ","")</f>
        <v>0060158000110       </v>
      </c>
      <c r="F546" t="str">
        <f>CONCATENATE("0606670326","")</f>
        <v>0606670326</v>
      </c>
      <c r="G546" t="s">
        <v>1194</v>
      </c>
      <c r="H546" t="s">
        <v>1200</v>
      </c>
      <c r="I546" t="s">
        <v>1201</v>
      </c>
      <c r="J546" t="str">
        <f>CONCATENATE("080606","")</f>
        <v>080606</v>
      </c>
      <c r="K546" t="s">
        <v>22</v>
      </c>
      <c r="L546" t="s">
        <v>23</v>
      </c>
      <c r="M546" t="str">
        <f t="shared" si="61"/>
        <v>1</v>
      </c>
      <c r="O546" t="str">
        <f>CONCATENATE("2 ","")</f>
        <v>2 </v>
      </c>
      <c r="P546">
        <v>31.55</v>
      </c>
      <c r="Q546" t="s">
        <v>24</v>
      </c>
    </row>
    <row r="547" spans="1:17" ht="15">
      <c r="A547" t="s">
        <v>17</v>
      </c>
      <c r="B547" s="1">
        <v>41831</v>
      </c>
      <c r="C547" t="s">
        <v>1197</v>
      </c>
      <c r="D547" t="str">
        <f>CONCATENATE("0040023575","")</f>
        <v>0040023575</v>
      </c>
      <c r="E547" t="str">
        <f>CONCATENATE("0060158000520       ","")</f>
        <v>0060158000520       </v>
      </c>
      <c r="F547" t="str">
        <f>CONCATENATE("1930246","")</f>
        <v>1930246</v>
      </c>
      <c r="G547" t="s">
        <v>1194</v>
      </c>
      <c r="H547" t="s">
        <v>1202</v>
      </c>
      <c r="I547" t="s">
        <v>1203</v>
      </c>
      <c r="J547" t="str">
        <f>CONCATENATE("080608","")</f>
        <v>080608</v>
      </c>
      <c r="K547" t="s">
        <v>22</v>
      </c>
      <c r="L547" t="s">
        <v>23</v>
      </c>
      <c r="M547" t="str">
        <f t="shared" si="61"/>
        <v>1</v>
      </c>
      <c r="O547" t="str">
        <f aca="true" t="shared" si="62" ref="O547:O557">CONCATENATE("1 ","")</f>
        <v>1 </v>
      </c>
      <c r="P547">
        <v>23.6</v>
      </c>
      <c r="Q547" t="s">
        <v>24</v>
      </c>
    </row>
    <row r="548" spans="1:17" ht="15">
      <c r="A548" t="s">
        <v>17</v>
      </c>
      <c r="B548" s="1">
        <v>41831</v>
      </c>
      <c r="C548" t="s">
        <v>1126</v>
      </c>
      <c r="D548" t="str">
        <f>CONCATENATE("0040030316","")</f>
        <v>0040030316</v>
      </c>
      <c r="E548" t="str">
        <f>CONCATENATE("0060159000085       ","")</f>
        <v>0060159000085       </v>
      </c>
      <c r="F548" t="str">
        <f>CONCATENATE("2188110","")</f>
        <v>2188110</v>
      </c>
      <c r="G548" t="s">
        <v>1204</v>
      </c>
      <c r="H548" t="s">
        <v>1205</v>
      </c>
      <c r="I548" t="s">
        <v>1206</v>
      </c>
      <c r="J548" t="str">
        <f>CONCATENATE("080606","")</f>
        <v>080606</v>
      </c>
      <c r="K548" t="s">
        <v>22</v>
      </c>
      <c r="L548" t="s">
        <v>23</v>
      </c>
      <c r="M548" t="str">
        <f t="shared" si="61"/>
        <v>1</v>
      </c>
      <c r="O548" t="str">
        <f t="shared" si="62"/>
        <v>1 </v>
      </c>
      <c r="P548">
        <v>19.4</v>
      </c>
      <c r="Q548" t="s">
        <v>24</v>
      </c>
    </row>
    <row r="549" spans="1:17" ht="15">
      <c r="A549" t="s">
        <v>17</v>
      </c>
      <c r="B549" s="1">
        <v>41831</v>
      </c>
      <c r="C549" t="s">
        <v>1126</v>
      </c>
      <c r="D549" t="str">
        <f>CONCATENATE("0040031321","")</f>
        <v>0040031321</v>
      </c>
      <c r="E549" t="str">
        <f>CONCATENATE("0060159002040       ","")</f>
        <v>0060159002040       </v>
      </c>
      <c r="F549" t="str">
        <f>CONCATENATE("606601831","")</f>
        <v>606601831</v>
      </c>
      <c r="G549" t="s">
        <v>1204</v>
      </c>
      <c r="H549" t="s">
        <v>1207</v>
      </c>
      <c r="I549" t="s">
        <v>1208</v>
      </c>
      <c r="J549" t="str">
        <f>CONCATENATE("080606","")</f>
        <v>080606</v>
      </c>
      <c r="K549" t="s">
        <v>22</v>
      </c>
      <c r="L549" t="s">
        <v>23</v>
      </c>
      <c r="M549" t="str">
        <f t="shared" si="61"/>
        <v>1</v>
      </c>
      <c r="O549" t="str">
        <f t="shared" si="62"/>
        <v>1 </v>
      </c>
      <c r="P549">
        <v>13.05</v>
      </c>
      <c r="Q549" t="s">
        <v>24</v>
      </c>
    </row>
    <row r="550" spans="1:17" ht="15">
      <c r="A550" t="s">
        <v>17</v>
      </c>
      <c r="B550" s="1">
        <v>41831</v>
      </c>
      <c r="C550" t="s">
        <v>191</v>
      </c>
      <c r="D550" t="str">
        <f>CONCATENATE("0040011066","")</f>
        <v>0040011066</v>
      </c>
      <c r="E550" t="str">
        <f>CONCATENATE("0060160000105       ","")</f>
        <v>0060160000105       </v>
      </c>
      <c r="F550" t="str">
        <f>CONCATENATE("606085481","")</f>
        <v>606085481</v>
      </c>
      <c r="G550" t="s">
        <v>1209</v>
      </c>
      <c r="H550" t="s">
        <v>1210</v>
      </c>
      <c r="I550" t="s">
        <v>1211</v>
      </c>
      <c r="J550" t="str">
        <f aca="true" t="shared" si="63" ref="J550:J583">CONCATENATE("080601","")</f>
        <v>080601</v>
      </c>
      <c r="K550" t="s">
        <v>22</v>
      </c>
      <c r="L550" t="s">
        <v>23</v>
      </c>
      <c r="M550" t="str">
        <f t="shared" si="61"/>
        <v>1</v>
      </c>
      <c r="O550" t="str">
        <f t="shared" si="62"/>
        <v>1 </v>
      </c>
      <c r="P550">
        <v>13.9</v>
      </c>
      <c r="Q550" t="s">
        <v>24</v>
      </c>
    </row>
    <row r="551" spans="1:17" ht="15">
      <c r="A551" t="s">
        <v>17</v>
      </c>
      <c r="B551" s="1">
        <v>41831</v>
      </c>
      <c r="C551" t="s">
        <v>191</v>
      </c>
      <c r="D551" t="str">
        <f>CONCATENATE("0040030950","")</f>
        <v>0040030950</v>
      </c>
      <c r="E551" t="str">
        <f>CONCATENATE("0060160000147       ","")</f>
        <v>0060160000147       </v>
      </c>
      <c r="F551" t="str">
        <f>CONCATENATE("2150512","")</f>
        <v>2150512</v>
      </c>
      <c r="G551" t="s">
        <v>1209</v>
      </c>
      <c r="H551" t="s">
        <v>1212</v>
      </c>
      <c r="I551" t="s">
        <v>1213</v>
      </c>
      <c r="J551" t="str">
        <f t="shared" si="63"/>
        <v>080601</v>
      </c>
      <c r="K551" t="s">
        <v>22</v>
      </c>
      <c r="L551" t="s">
        <v>23</v>
      </c>
      <c r="M551" t="str">
        <f t="shared" si="61"/>
        <v>1</v>
      </c>
      <c r="O551" t="str">
        <f t="shared" si="62"/>
        <v>1 </v>
      </c>
      <c r="P551">
        <v>16.2</v>
      </c>
      <c r="Q551" t="s">
        <v>24</v>
      </c>
    </row>
    <row r="552" spans="1:17" ht="15">
      <c r="A552" t="s">
        <v>17</v>
      </c>
      <c r="B552" s="1">
        <v>41831</v>
      </c>
      <c r="C552" t="s">
        <v>191</v>
      </c>
      <c r="D552" t="str">
        <f>CONCATENATE("0040012846","")</f>
        <v>0040012846</v>
      </c>
      <c r="E552" t="str">
        <f>CONCATENATE("0060160000205       ","")</f>
        <v>0060160000205       </v>
      </c>
      <c r="F552" t="str">
        <f>CONCATENATE("00582277","")</f>
        <v>00582277</v>
      </c>
      <c r="G552" t="s">
        <v>1209</v>
      </c>
      <c r="H552" t="s">
        <v>1214</v>
      </c>
      <c r="I552" t="s">
        <v>1215</v>
      </c>
      <c r="J552" t="str">
        <f t="shared" si="63"/>
        <v>080601</v>
      </c>
      <c r="K552" t="s">
        <v>22</v>
      </c>
      <c r="L552" t="s">
        <v>23</v>
      </c>
      <c r="M552" t="str">
        <f>CONCATENATE("3","")</f>
        <v>3</v>
      </c>
      <c r="O552" t="str">
        <f t="shared" si="62"/>
        <v>1 </v>
      </c>
      <c r="P552">
        <v>12.45</v>
      </c>
      <c r="Q552" t="s">
        <v>326</v>
      </c>
    </row>
    <row r="553" spans="1:17" ht="15">
      <c r="A553" t="s">
        <v>17</v>
      </c>
      <c r="B553" s="1">
        <v>41831</v>
      </c>
      <c r="C553" t="s">
        <v>191</v>
      </c>
      <c r="D553" t="str">
        <f>CONCATENATE("0040006022","")</f>
        <v>0040006022</v>
      </c>
      <c r="E553" t="str">
        <f>CONCATENATE("0060160000370       ","")</f>
        <v>0060160000370       </v>
      </c>
      <c r="F553" t="str">
        <f>CONCATENATE("605396685","")</f>
        <v>605396685</v>
      </c>
      <c r="G553" t="s">
        <v>1209</v>
      </c>
      <c r="H553" t="s">
        <v>1216</v>
      </c>
      <c r="I553" t="s">
        <v>1217</v>
      </c>
      <c r="J553" t="str">
        <f t="shared" si="63"/>
        <v>080601</v>
      </c>
      <c r="K553" t="s">
        <v>22</v>
      </c>
      <c r="L553" t="s">
        <v>23</v>
      </c>
      <c r="M553" t="str">
        <f aca="true" t="shared" si="64" ref="M553:M616">CONCATENATE("1","")</f>
        <v>1</v>
      </c>
      <c r="O553" t="str">
        <f t="shared" si="62"/>
        <v>1 </v>
      </c>
      <c r="P553">
        <v>10.6</v>
      </c>
      <c r="Q553" t="s">
        <v>24</v>
      </c>
    </row>
    <row r="554" spans="1:17" ht="15">
      <c r="A554" t="s">
        <v>17</v>
      </c>
      <c r="B554" s="1">
        <v>41831</v>
      </c>
      <c r="C554" t="s">
        <v>191</v>
      </c>
      <c r="D554" t="str">
        <f>CONCATENATE("0040006058","")</f>
        <v>0040006058</v>
      </c>
      <c r="E554" t="str">
        <f>CONCATENATE("0060161000180       ","")</f>
        <v>0060161000180       </v>
      </c>
      <c r="F554" t="str">
        <f>CONCATENATE("2186363","")</f>
        <v>2186363</v>
      </c>
      <c r="G554" t="s">
        <v>1209</v>
      </c>
      <c r="H554" t="s">
        <v>1218</v>
      </c>
      <c r="I554" t="s">
        <v>1219</v>
      </c>
      <c r="J554" t="str">
        <f t="shared" si="63"/>
        <v>080601</v>
      </c>
      <c r="K554" t="s">
        <v>22</v>
      </c>
      <c r="L554" t="s">
        <v>23</v>
      </c>
      <c r="M554" t="str">
        <f t="shared" si="64"/>
        <v>1</v>
      </c>
      <c r="O554" t="str">
        <f t="shared" si="62"/>
        <v>1 </v>
      </c>
      <c r="P554">
        <v>27.6</v>
      </c>
      <c r="Q554" t="s">
        <v>24</v>
      </c>
    </row>
    <row r="555" spans="1:17" ht="15">
      <c r="A555" t="s">
        <v>17</v>
      </c>
      <c r="B555" s="1">
        <v>41831</v>
      </c>
      <c r="C555" t="s">
        <v>191</v>
      </c>
      <c r="D555" t="str">
        <f>CONCATENATE("0040006064","")</f>
        <v>0040006064</v>
      </c>
      <c r="E555" t="str">
        <f>CONCATENATE("0060161000250       ","")</f>
        <v>0060161000250       </v>
      </c>
      <c r="F555" t="str">
        <f>CONCATENATE("552178","")</f>
        <v>552178</v>
      </c>
      <c r="G555" t="s">
        <v>1220</v>
      </c>
      <c r="H555" t="s">
        <v>1221</v>
      </c>
      <c r="I555" t="s">
        <v>1219</v>
      </c>
      <c r="J555" t="str">
        <f t="shared" si="63"/>
        <v>080601</v>
      </c>
      <c r="K555" t="s">
        <v>22</v>
      </c>
      <c r="L555" t="s">
        <v>23</v>
      </c>
      <c r="M555" t="str">
        <f t="shared" si="64"/>
        <v>1</v>
      </c>
      <c r="O555" t="str">
        <f t="shared" si="62"/>
        <v>1 </v>
      </c>
      <c r="P555">
        <v>18.65</v>
      </c>
      <c r="Q555" t="s">
        <v>24</v>
      </c>
    </row>
    <row r="556" spans="1:17" ht="15">
      <c r="A556" t="s">
        <v>17</v>
      </c>
      <c r="B556" s="1">
        <v>41831</v>
      </c>
      <c r="C556" t="s">
        <v>191</v>
      </c>
      <c r="D556" t="str">
        <f>CONCATENATE("0040011926","")</f>
        <v>0040011926</v>
      </c>
      <c r="E556" t="str">
        <f>CONCATENATE("0060161000775       ","")</f>
        <v>0060161000775       </v>
      </c>
      <c r="F556" t="str">
        <f>CONCATENATE("0605875994","")</f>
        <v>0605875994</v>
      </c>
      <c r="G556" t="s">
        <v>1209</v>
      </c>
      <c r="H556" t="s">
        <v>1222</v>
      </c>
      <c r="I556" t="s">
        <v>1223</v>
      </c>
      <c r="J556" t="str">
        <f t="shared" si="63"/>
        <v>080601</v>
      </c>
      <c r="K556" t="s">
        <v>22</v>
      </c>
      <c r="L556" t="s">
        <v>23</v>
      </c>
      <c r="M556" t="str">
        <f t="shared" si="64"/>
        <v>1</v>
      </c>
      <c r="O556" t="str">
        <f t="shared" si="62"/>
        <v>1 </v>
      </c>
      <c r="P556">
        <v>39.45</v>
      </c>
      <c r="Q556" t="s">
        <v>24</v>
      </c>
    </row>
    <row r="557" spans="1:17" ht="15">
      <c r="A557" t="s">
        <v>17</v>
      </c>
      <c r="B557" s="1">
        <v>41831</v>
      </c>
      <c r="C557" t="s">
        <v>191</v>
      </c>
      <c r="D557" t="str">
        <f>CONCATENATE("0040006114","")</f>
        <v>0040006114</v>
      </c>
      <c r="E557" t="str">
        <f>CONCATENATE("0060161000930       ","")</f>
        <v>0060161000930       </v>
      </c>
      <c r="F557" t="str">
        <f>CONCATENATE("741213","")</f>
        <v>741213</v>
      </c>
      <c r="G557" t="s">
        <v>1220</v>
      </c>
      <c r="H557" t="s">
        <v>1224</v>
      </c>
      <c r="I557" t="s">
        <v>1225</v>
      </c>
      <c r="J557" t="str">
        <f t="shared" si="63"/>
        <v>080601</v>
      </c>
      <c r="K557" t="s">
        <v>22</v>
      </c>
      <c r="L557" t="s">
        <v>23</v>
      </c>
      <c r="M557" t="str">
        <f t="shared" si="64"/>
        <v>1</v>
      </c>
      <c r="O557" t="str">
        <f t="shared" si="62"/>
        <v>1 </v>
      </c>
      <c r="P557">
        <v>14.7</v>
      </c>
      <c r="Q557" t="s">
        <v>24</v>
      </c>
    </row>
    <row r="558" spans="1:17" ht="15">
      <c r="A558" t="s">
        <v>17</v>
      </c>
      <c r="B558" s="1">
        <v>41831</v>
      </c>
      <c r="C558" t="s">
        <v>191</v>
      </c>
      <c r="D558" t="str">
        <f>CONCATENATE("0040024343","")</f>
        <v>0040024343</v>
      </c>
      <c r="E558" t="str">
        <f>CONCATENATE("0060161100160       ","")</f>
        <v>0060161100160       </v>
      </c>
      <c r="F558" t="str">
        <f>CONCATENATE("1939129","")</f>
        <v>1939129</v>
      </c>
      <c r="G558" t="s">
        <v>1209</v>
      </c>
      <c r="H558" t="s">
        <v>1226</v>
      </c>
      <c r="I558" t="s">
        <v>1227</v>
      </c>
      <c r="J558" t="str">
        <f t="shared" si="63"/>
        <v>080601</v>
      </c>
      <c r="K558" t="s">
        <v>22</v>
      </c>
      <c r="L558" t="s">
        <v>23</v>
      </c>
      <c r="M558" t="str">
        <f t="shared" si="64"/>
        <v>1</v>
      </c>
      <c r="O558" t="str">
        <f>CONCATENATE("4 ","")</f>
        <v>4 </v>
      </c>
      <c r="P558">
        <v>33.35</v>
      </c>
      <c r="Q558" t="s">
        <v>24</v>
      </c>
    </row>
    <row r="559" spans="1:17" ht="15">
      <c r="A559" t="s">
        <v>17</v>
      </c>
      <c r="B559" s="1">
        <v>41831</v>
      </c>
      <c r="C559" t="s">
        <v>191</v>
      </c>
      <c r="D559" t="str">
        <f>CONCATENATE("0040024304","")</f>
        <v>0040024304</v>
      </c>
      <c r="E559" t="str">
        <f>CONCATENATE("0060165000225       ","")</f>
        <v>0060165000225       </v>
      </c>
      <c r="F559" t="str">
        <f>CONCATENATE("1941217","")</f>
        <v>1941217</v>
      </c>
      <c r="G559" t="s">
        <v>1228</v>
      </c>
      <c r="H559" t="s">
        <v>1229</v>
      </c>
      <c r="I559" t="s">
        <v>1230</v>
      </c>
      <c r="J559" t="str">
        <f t="shared" si="63"/>
        <v>080601</v>
      </c>
      <c r="K559" t="s">
        <v>22</v>
      </c>
      <c r="L559" t="s">
        <v>23</v>
      </c>
      <c r="M559" t="str">
        <f t="shared" si="64"/>
        <v>1</v>
      </c>
      <c r="O559" t="str">
        <f aca="true" t="shared" si="65" ref="O559:O586">CONCATENATE("1 ","")</f>
        <v>1 </v>
      </c>
      <c r="P559">
        <v>61</v>
      </c>
      <c r="Q559" t="s">
        <v>24</v>
      </c>
    </row>
    <row r="560" spans="1:17" ht="15">
      <c r="A560" t="s">
        <v>17</v>
      </c>
      <c r="B560" s="1">
        <v>41831</v>
      </c>
      <c r="C560" t="s">
        <v>191</v>
      </c>
      <c r="D560" t="str">
        <f>CONCATENATE("0040006163","")</f>
        <v>0040006163</v>
      </c>
      <c r="E560" t="str">
        <f>CONCATENATE("0060165000800       ","")</f>
        <v>0060165000800       </v>
      </c>
      <c r="F560" t="str">
        <f>CONCATENATE("605396660","")</f>
        <v>605396660</v>
      </c>
      <c r="G560" t="s">
        <v>1228</v>
      </c>
      <c r="H560" t="s">
        <v>1231</v>
      </c>
      <c r="I560" t="s">
        <v>1232</v>
      </c>
      <c r="J560" t="str">
        <f t="shared" si="63"/>
        <v>080601</v>
      </c>
      <c r="K560" t="s">
        <v>22</v>
      </c>
      <c r="L560" t="s">
        <v>23</v>
      </c>
      <c r="M560" t="str">
        <f t="shared" si="64"/>
        <v>1</v>
      </c>
      <c r="O560" t="str">
        <f t="shared" si="65"/>
        <v>1 </v>
      </c>
      <c r="P560">
        <v>19.8</v>
      </c>
      <c r="Q560" t="s">
        <v>24</v>
      </c>
    </row>
    <row r="561" spans="1:17" ht="15">
      <c r="A561" t="s">
        <v>17</v>
      </c>
      <c r="B561" s="1">
        <v>41831</v>
      </c>
      <c r="C561" t="s">
        <v>191</v>
      </c>
      <c r="D561" t="str">
        <f>CONCATENATE("0040007537","")</f>
        <v>0040007537</v>
      </c>
      <c r="E561" t="str">
        <f>CONCATENATE("0060165000961       ","")</f>
        <v>0060165000961       </v>
      </c>
      <c r="F561" t="str">
        <f>CONCATENATE("605350576","")</f>
        <v>605350576</v>
      </c>
      <c r="G561" t="s">
        <v>1228</v>
      </c>
      <c r="H561" t="s">
        <v>1233</v>
      </c>
      <c r="I561" t="s">
        <v>1234</v>
      </c>
      <c r="J561" t="str">
        <f t="shared" si="63"/>
        <v>080601</v>
      </c>
      <c r="K561" t="s">
        <v>22</v>
      </c>
      <c r="L561" t="s">
        <v>23</v>
      </c>
      <c r="M561" t="str">
        <f t="shared" si="64"/>
        <v>1</v>
      </c>
      <c r="O561" t="str">
        <f t="shared" si="65"/>
        <v>1 </v>
      </c>
      <c r="P561">
        <v>402.5</v>
      </c>
      <c r="Q561" t="s">
        <v>24</v>
      </c>
    </row>
    <row r="562" spans="1:17" ht="15">
      <c r="A562" t="s">
        <v>17</v>
      </c>
      <c r="B562" s="1">
        <v>41831</v>
      </c>
      <c r="C562" t="s">
        <v>191</v>
      </c>
      <c r="D562" t="str">
        <f>CONCATENATE("0040019703","")</f>
        <v>0040019703</v>
      </c>
      <c r="E562" t="str">
        <f>CONCATENATE("0060166002039       ","")</f>
        <v>0060166002039       </v>
      </c>
      <c r="F562" t="str">
        <f>CONCATENATE("605619464","")</f>
        <v>605619464</v>
      </c>
      <c r="G562" t="s">
        <v>1235</v>
      </c>
      <c r="H562" t="s">
        <v>1236</v>
      </c>
      <c r="I562" t="s">
        <v>1237</v>
      </c>
      <c r="J562" t="str">
        <f t="shared" si="63"/>
        <v>080601</v>
      </c>
      <c r="K562" t="s">
        <v>22</v>
      </c>
      <c r="L562" t="s">
        <v>23</v>
      </c>
      <c r="M562" t="str">
        <f t="shared" si="64"/>
        <v>1</v>
      </c>
      <c r="O562" t="str">
        <f t="shared" si="65"/>
        <v>1 </v>
      </c>
      <c r="P562">
        <v>20.7</v>
      </c>
      <c r="Q562" t="s">
        <v>24</v>
      </c>
    </row>
    <row r="563" spans="1:17" ht="15">
      <c r="A563" t="s">
        <v>17</v>
      </c>
      <c r="B563" s="1">
        <v>41831</v>
      </c>
      <c r="C563" t="s">
        <v>191</v>
      </c>
      <c r="D563" t="str">
        <f>CONCATENATE("0040006208","")</f>
        <v>0040006208</v>
      </c>
      <c r="E563" t="str">
        <f>CONCATENATE("0060166002050       ","")</f>
        <v>0060166002050       </v>
      </c>
      <c r="F563" t="str">
        <f>CONCATENATE("605397874","")</f>
        <v>605397874</v>
      </c>
      <c r="G563" t="s">
        <v>1235</v>
      </c>
      <c r="H563" t="s">
        <v>1238</v>
      </c>
      <c r="I563" t="s">
        <v>1239</v>
      </c>
      <c r="J563" t="str">
        <f t="shared" si="63"/>
        <v>080601</v>
      </c>
      <c r="K563" t="s">
        <v>22</v>
      </c>
      <c r="L563" t="s">
        <v>23</v>
      </c>
      <c r="M563" t="str">
        <f t="shared" si="64"/>
        <v>1</v>
      </c>
      <c r="O563" t="str">
        <f t="shared" si="65"/>
        <v>1 </v>
      </c>
      <c r="P563">
        <v>29.65</v>
      </c>
      <c r="Q563" t="s">
        <v>24</v>
      </c>
    </row>
    <row r="564" spans="1:17" ht="15">
      <c r="A564" t="s">
        <v>17</v>
      </c>
      <c r="B564" s="1">
        <v>41831</v>
      </c>
      <c r="C564" t="s">
        <v>191</v>
      </c>
      <c r="D564" t="str">
        <f>CONCATENATE("0040015784","")</f>
        <v>0040015784</v>
      </c>
      <c r="E564" t="str">
        <f>CONCATENATE("0060166003000       ","")</f>
        <v>0060166003000       </v>
      </c>
      <c r="F564" t="str">
        <f>CONCATENATE("00002755098","")</f>
        <v>00002755098</v>
      </c>
      <c r="G564" t="s">
        <v>1235</v>
      </c>
      <c r="H564" t="s">
        <v>1240</v>
      </c>
      <c r="I564" t="s">
        <v>1241</v>
      </c>
      <c r="J564" t="str">
        <f t="shared" si="63"/>
        <v>080601</v>
      </c>
      <c r="K564" t="s">
        <v>22</v>
      </c>
      <c r="L564" t="s">
        <v>23</v>
      </c>
      <c r="M564" t="str">
        <f t="shared" si="64"/>
        <v>1</v>
      </c>
      <c r="O564" t="str">
        <f t="shared" si="65"/>
        <v>1 </v>
      </c>
      <c r="P564">
        <v>25.75</v>
      </c>
      <c r="Q564" t="s">
        <v>24</v>
      </c>
    </row>
    <row r="565" spans="1:17" ht="15">
      <c r="A565" t="s">
        <v>17</v>
      </c>
      <c r="B565" s="1">
        <v>41831</v>
      </c>
      <c r="C565" t="s">
        <v>191</v>
      </c>
      <c r="D565" t="str">
        <f>CONCATENATE("0040017277","")</f>
        <v>0040017277</v>
      </c>
      <c r="E565" t="str">
        <f>CONCATENATE("0060166003010       ","")</f>
        <v>0060166003010       </v>
      </c>
      <c r="F565" t="str">
        <f>CONCATENATE("1116018","")</f>
        <v>1116018</v>
      </c>
      <c r="G565" t="s">
        <v>1235</v>
      </c>
      <c r="H565" t="s">
        <v>1242</v>
      </c>
      <c r="I565" t="s">
        <v>1243</v>
      </c>
      <c r="J565" t="str">
        <f t="shared" si="63"/>
        <v>080601</v>
      </c>
      <c r="K565" t="s">
        <v>22</v>
      </c>
      <c r="L565" t="s">
        <v>23</v>
      </c>
      <c r="M565" t="str">
        <f t="shared" si="64"/>
        <v>1</v>
      </c>
      <c r="O565" t="str">
        <f t="shared" si="65"/>
        <v>1 </v>
      </c>
      <c r="P565">
        <v>29.3</v>
      </c>
      <c r="Q565" t="s">
        <v>24</v>
      </c>
    </row>
    <row r="566" spans="1:17" ht="15">
      <c r="A566" t="s">
        <v>17</v>
      </c>
      <c r="B566" s="1">
        <v>41831</v>
      </c>
      <c r="C566" t="s">
        <v>191</v>
      </c>
      <c r="D566" t="str">
        <f>CONCATENATE("0040020360","")</f>
        <v>0040020360</v>
      </c>
      <c r="E566" t="str">
        <f>CONCATENATE("0060167000098       ","")</f>
        <v>0060167000098       </v>
      </c>
      <c r="F566" t="str">
        <f>CONCATENATE("605762395","")</f>
        <v>605762395</v>
      </c>
      <c r="G566" t="s">
        <v>1244</v>
      </c>
      <c r="H566" t="s">
        <v>1245</v>
      </c>
      <c r="I566" t="s">
        <v>1246</v>
      </c>
      <c r="J566" t="str">
        <f t="shared" si="63"/>
        <v>080601</v>
      </c>
      <c r="K566" t="s">
        <v>22</v>
      </c>
      <c r="L566" t="s">
        <v>23</v>
      </c>
      <c r="M566" t="str">
        <f t="shared" si="64"/>
        <v>1</v>
      </c>
      <c r="O566" t="str">
        <f t="shared" si="65"/>
        <v>1 </v>
      </c>
      <c r="P566">
        <v>60.15</v>
      </c>
      <c r="Q566" t="s">
        <v>24</v>
      </c>
    </row>
    <row r="567" spans="1:17" ht="15">
      <c r="A567" t="s">
        <v>17</v>
      </c>
      <c r="B567" s="1">
        <v>41831</v>
      </c>
      <c r="C567" t="s">
        <v>191</v>
      </c>
      <c r="D567" t="str">
        <f>CONCATENATE("0040006237","")</f>
        <v>0040006237</v>
      </c>
      <c r="E567" t="str">
        <f>CONCATENATE("0060167000160       ","")</f>
        <v>0060167000160       </v>
      </c>
      <c r="F567" t="str">
        <f>CONCATENATE("2191131","")</f>
        <v>2191131</v>
      </c>
      <c r="G567" t="s">
        <v>1244</v>
      </c>
      <c r="H567" t="s">
        <v>1247</v>
      </c>
      <c r="I567" t="s">
        <v>1248</v>
      </c>
      <c r="J567" t="str">
        <f t="shared" si="63"/>
        <v>080601</v>
      </c>
      <c r="K567" t="s">
        <v>22</v>
      </c>
      <c r="L567" t="s">
        <v>23</v>
      </c>
      <c r="M567" t="str">
        <f t="shared" si="64"/>
        <v>1</v>
      </c>
      <c r="O567" t="str">
        <f t="shared" si="65"/>
        <v>1 </v>
      </c>
      <c r="P567">
        <v>91.45</v>
      </c>
      <c r="Q567" t="s">
        <v>24</v>
      </c>
    </row>
    <row r="568" spans="1:17" ht="15">
      <c r="A568" t="s">
        <v>17</v>
      </c>
      <c r="B568" s="1">
        <v>41831</v>
      </c>
      <c r="C568" t="s">
        <v>191</v>
      </c>
      <c r="D568" t="str">
        <f>CONCATENATE("0040020606","")</f>
        <v>0040020606</v>
      </c>
      <c r="E568" t="str">
        <f>CONCATENATE("0060167000205       ","")</f>
        <v>0060167000205       </v>
      </c>
      <c r="F568" t="str">
        <f>CONCATENATE("605938217","")</f>
        <v>605938217</v>
      </c>
      <c r="G568" t="s">
        <v>1244</v>
      </c>
      <c r="H568" t="s">
        <v>1249</v>
      </c>
      <c r="I568" t="s">
        <v>1250</v>
      </c>
      <c r="J568" t="str">
        <f t="shared" si="63"/>
        <v>080601</v>
      </c>
      <c r="K568" t="s">
        <v>22</v>
      </c>
      <c r="L568" t="s">
        <v>23</v>
      </c>
      <c r="M568" t="str">
        <f t="shared" si="64"/>
        <v>1</v>
      </c>
      <c r="O568" t="str">
        <f t="shared" si="65"/>
        <v>1 </v>
      </c>
      <c r="P568">
        <v>42.85</v>
      </c>
      <c r="Q568" t="s">
        <v>24</v>
      </c>
    </row>
    <row r="569" spans="1:17" ht="15">
      <c r="A569" t="s">
        <v>17</v>
      </c>
      <c r="B569" s="1">
        <v>41831</v>
      </c>
      <c r="C569" t="s">
        <v>191</v>
      </c>
      <c r="D569" t="str">
        <f>CONCATENATE("0040009807","")</f>
        <v>0040009807</v>
      </c>
      <c r="E569" t="str">
        <f>CONCATENATE("0060167000245       ","")</f>
        <v>0060167000245       </v>
      </c>
      <c r="F569" t="str">
        <f>CONCATENATE("605350579","")</f>
        <v>605350579</v>
      </c>
      <c r="G569" t="s">
        <v>1228</v>
      </c>
      <c r="H569" t="s">
        <v>1251</v>
      </c>
      <c r="I569" t="s">
        <v>1252</v>
      </c>
      <c r="J569" t="str">
        <f t="shared" si="63"/>
        <v>080601</v>
      </c>
      <c r="K569" t="s">
        <v>22</v>
      </c>
      <c r="L569" t="s">
        <v>23</v>
      </c>
      <c r="M569" t="str">
        <f t="shared" si="64"/>
        <v>1</v>
      </c>
      <c r="O569" t="str">
        <f t="shared" si="65"/>
        <v>1 </v>
      </c>
      <c r="P569">
        <v>374.6</v>
      </c>
      <c r="Q569" t="s">
        <v>24</v>
      </c>
    </row>
    <row r="570" spans="1:17" ht="15">
      <c r="A570" t="s">
        <v>17</v>
      </c>
      <c r="B570" s="1">
        <v>41831</v>
      </c>
      <c r="C570" t="s">
        <v>191</v>
      </c>
      <c r="D570" t="str">
        <f>CONCATENATE("0040015589","")</f>
        <v>0040015589</v>
      </c>
      <c r="E570" t="str">
        <f>CONCATENATE("0060167000360       ","")</f>
        <v>0060167000360       </v>
      </c>
      <c r="F570" t="str">
        <f>CONCATENATE("605748740","")</f>
        <v>605748740</v>
      </c>
      <c r="G570" t="s">
        <v>1244</v>
      </c>
      <c r="H570" t="s">
        <v>1253</v>
      </c>
      <c r="I570" t="s">
        <v>1254</v>
      </c>
      <c r="J570" t="str">
        <f t="shared" si="63"/>
        <v>080601</v>
      </c>
      <c r="K570" t="s">
        <v>22</v>
      </c>
      <c r="L570" t="s">
        <v>23</v>
      </c>
      <c r="M570" t="str">
        <f t="shared" si="64"/>
        <v>1</v>
      </c>
      <c r="O570" t="str">
        <f t="shared" si="65"/>
        <v>1 </v>
      </c>
      <c r="P570">
        <v>42.55</v>
      </c>
      <c r="Q570" t="s">
        <v>24</v>
      </c>
    </row>
    <row r="571" spans="1:17" ht="15">
      <c r="A571" t="s">
        <v>17</v>
      </c>
      <c r="B571" s="1">
        <v>41831</v>
      </c>
      <c r="C571" t="s">
        <v>191</v>
      </c>
      <c r="D571" t="str">
        <f>CONCATENATE("0040017260","")</f>
        <v>0040017260</v>
      </c>
      <c r="E571" t="str">
        <f>CONCATENATE("0060167000476       ","")</f>
        <v>0060167000476       </v>
      </c>
      <c r="F571" t="str">
        <f>CONCATENATE("1117262","")</f>
        <v>1117262</v>
      </c>
      <c r="G571" t="s">
        <v>1244</v>
      </c>
      <c r="H571" t="s">
        <v>1255</v>
      </c>
      <c r="I571" t="s">
        <v>1256</v>
      </c>
      <c r="J571" t="str">
        <f t="shared" si="63"/>
        <v>080601</v>
      </c>
      <c r="K571" t="s">
        <v>22</v>
      </c>
      <c r="L571" t="s">
        <v>23</v>
      </c>
      <c r="M571" t="str">
        <f t="shared" si="64"/>
        <v>1</v>
      </c>
      <c r="O571" t="str">
        <f t="shared" si="65"/>
        <v>1 </v>
      </c>
      <c r="P571">
        <v>77.5</v>
      </c>
      <c r="Q571" t="s">
        <v>24</v>
      </c>
    </row>
    <row r="572" spans="1:17" ht="15">
      <c r="A572" t="s">
        <v>17</v>
      </c>
      <c r="B572" s="1">
        <v>41831</v>
      </c>
      <c r="C572" t="s">
        <v>191</v>
      </c>
      <c r="D572" t="str">
        <f>CONCATENATE("0040006268","")</f>
        <v>0040006268</v>
      </c>
      <c r="E572" t="str">
        <f>CONCATENATE("0060167000510       ","")</f>
        <v>0060167000510       </v>
      </c>
      <c r="F572" t="str">
        <f>CONCATENATE("605628666","")</f>
        <v>605628666</v>
      </c>
      <c r="G572" t="s">
        <v>1244</v>
      </c>
      <c r="H572" t="s">
        <v>1257</v>
      </c>
      <c r="I572" t="s">
        <v>1248</v>
      </c>
      <c r="J572" t="str">
        <f t="shared" si="63"/>
        <v>080601</v>
      </c>
      <c r="K572" t="s">
        <v>22</v>
      </c>
      <c r="L572" t="s">
        <v>23</v>
      </c>
      <c r="M572" t="str">
        <f t="shared" si="64"/>
        <v>1</v>
      </c>
      <c r="O572" t="str">
        <f t="shared" si="65"/>
        <v>1 </v>
      </c>
      <c r="P572">
        <v>219</v>
      </c>
      <c r="Q572" t="s">
        <v>24</v>
      </c>
    </row>
    <row r="573" spans="1:17" ht="15">
      <c r="A573" t="s">
        <v>17</v>
      </c>
      <c r="B573" s="1">
        <v>41831</v>
      </c>
      <c r="C573" t="s">
        <v>191</v>
      </c>
      <c r="D573" t="str">
        <f>CONCATENATE("0040028426","")</f>
        <v>0040028426</v>
      </c>
      <c r="E573" t="str">
        <f>CONCATENATE("0060167000606       ","")</f>
        <v>0060167000606       </v>
      </c>
      <c r="F573" t="str">
        <f>CONCATENATE("02121101","")</f>
        <v>02121101</v>
      </c>
      <c r="G573" t="s">
        <v>1244</v>
      </c>
      <c r="H573" t="s">
        <v>1258</v>
      </c>
      <c r="I573" t="s">
        <v>1259</v>
      </c>
      <c r="J573" t="str">
        <f t="shared" si="63"/>
        <v>080601</v>
      </c>
      <c r="K573" t="s">
        <v>22</v>
      </c>
      <c r="L573" t="s">
        <v>23</v>
      </c>
      <c r="M573" t="str">
        <f t="shared" si="64"/>
        <v>1</v>
      </c>
      <c r="O573" t="str">
        <f t="shared" si="65"/>
        <v>1 </v>
      </c>
      <c r="P573">
        <v>49.8</v>
      </c>
      <c r="Q573" t="s">
        <v>24</v>
      </c>
    </row>
    <row r="574" spans="1:17" ht="15">
      <c r="A574" t="s">
        <v>17</v>
      </c>
      <c r="B574" s="1">
        <v>41831</v>
      </c>
      <c r="C574" t="s">
        <v>191</v>
      </c>
      <c r="D574" t="str">
        <f>CONCATENATE("0040006279","")</f>
        <v>0040006279</v>
      </c>
      <c r="E574" t="str">
        <f>CONCATENATE("0060167000650       ","")</f>
        <v>0060167000650       </v>
      </c>
      <c r="F574" t="str">
        <f>CONCATENATE("606031887","")</f>
        <v>606031887</v>
      </c>
      <c r="G574" t="s">
        <v>1244</v>
      </c>
      <c r="H574" t="s">
        <v>1260</v>
      </c>
      <c r="I574" t="s">
        <v>1261</v>
      </c>
      <c r="J574" t="str">
        <f t="shared" si="63"/>
        <v>080601</v>
      </c>
      <c r="K574" t="s">
        <v>22</v>
      </c>
      <c r="L574" t="s">
        <v>23</v>
      </c>
      <c r="M574" t="str">
        <f t="shared" si="64"/>
        <v>1</v>
      </c>
      <c r="O574" t="str">
        <f t="shared" si="65"/>
        <v>1 </v>
      </c>
      <c r="P574">
        <v>30.9</v>
      </c>
      <c r="Q574" t="s">
        <v>24</v>
      </c>
    </row>
    <row r="575" spans="1:17" ht="15">
      <c r="A575" t="s">
        <v>17</v>
      </c>
      <c r="B575" s="1">
        <v>41831</v>
      </c>
      <c r="C575" t="s">
        <v>191</v>
      </c>
      <c r="D575" t="str">
        <f>CONCATENATE("0040006282","")</f>
        <v>0040006282</v>
      </c>
      <c r="E575" t="str">
        <f>CONCATENATE("0060167000690       ","")</f>
        <v>0060167000690       </v>
      </c>
      <c r="F575" t="str">
        <f>CONCATENATE("0606031648","")</f>
        <v>0606031648</v>
      </c>
      <c r="G575" t="s">
        <v>1244</v>
      </c>
      <c r="H575" t="s">
        <v>1262</v>
      </c>
      <c r="I575" t="s">
        <v>1248</v>
      </c>
      <c r="J575" t="str">
        <f t="shared" si="63"/>
        <v>080601</v>
      </c>
      <c r="K575" t="s">
        <v>22</v>
      </c>
      <c r="L575" t="s">
        <v>23</v>
      </c>
      <c r="M575" t="str">
        <f t="shared" si="64"/>
        <v>1</v>
      </c>
      <c r="O575" t="str">
        <f t="shared" si="65"/>
        <v>1 </v>
      </c>
      <c r="P575">
        <v>48.75</v>
      </c>
      <c r="Q575" t="s">
        <v>24</v>
      </c>
    </row>
    <row r="576" spans="1:17" ht="15">
      <c r="A576" t="s">
        <v>17</v>
      </c>
      <c r="B576" s="1">
        <v>41831</v>
      </c>
      <c r="C576" t="s">
        <v>191</v>
      </c>
      <c r="D576" t="str">
        <f>CONCATENATE("0040016377","")</f>
        <v>0040016377</v>
      </c>
      <c r="E576" t="str">
        <f>CONCATENATE("0060167001270       ","")</f>
        <v>0060167001270       </v>
      </c>
      <c r="F576" t="str">
        <f>CONCATENATE("606598157","")</f>
        <v>606598157</v>
      </c>
      <c r="G576" t="s">
        <v>1244</v>
      </c>
      <c r="H576" t="s">
        <v>1263</v>
      </c>
      <c r="I576" t="s">
        <v>1264</v>
      </c>
      <c r="J576" t="str">
        <f t="shared" si="63"/>
        <v>080601</v>
      </c>
      <c r="K576" t="s">
        <v>22</v>
      </c>
      <c r="L576" t="s">
        <v>23</v>
      </c>
      <c r="M576" t="str">
        <f t="shared" si="64"/>
        <v>1</v>
      </c>
      <c r="O576" t="str">
        <f t="shared" si="65"/>
        <v>1 </v>
      </c>
      <c r="P576">
        <v>15.55</v>
      </c>
      <c r="Q576" t="s">
        <v>24</v>
      </c>
    </row>
    <row r="577" spans="1:17" ht="15">
      <c r="A577" t="s">
        <v>17</v>
      </c>
      <c r="B577" s="1">
        <v>41831</v>
      </c>
      <c r="C577" t="s">
        <v>191</v>
      </c>
      <c r="D577" t="str">
        <f>CONCATENATE("0040012086","")</f>
        <v>0040012086</v>
      </c>
      <c r="E577" t="str">
        <f>CONCATENATE("0060169000140       ","")</f>
        <v>0060169000140       </v>
      </c>
      <c r="F577" t="str">
        <f>CONCATENATE("605752059","")</f>
        <v>605752059</v>
      </c>
      <c r="G577" t="s">
        <v>851</v>
      </c>
      <c r="H577" t="s">
        <v>1265</v>
      </c>
      <c r="I577" t="s">
        <v>1266</v>
      </c>
      <c r="J577" t="str">
        <f t="shared" si="63"/>
        <v>080601</v>
      </c>
      <c r="K577" t="s">
        <v>22</v>
      </c>
      <c r="L577" t="s">
        <v>23</v>
      </c>
      <c r="M577" t="str">
        <f t="shared" si="64"/>
        <v>1</v>
      </c>
      <c r="O577" t="str">
        <f t="shared" si="65"/>
        <v>1 </v>
      </c>
      <c r="P577">
        <v>53.9</v>
      </c>
      <c r="Q577" t="s">
        <v>24</v>
      </c>
    </row>
    <row r="578" spans="1:17" ht="15">
      <c r="A578" t="s">
        <v>17</v>
      </c>
      <c r="B578" s="1">
        <v>41831</v>
      </c>
      <c r="C578" t="s">
        <v>191</v>
      </c>
      <c r="D578" t="str">
        <f>CONCATENATE("0040024325","")</f>
        <v>0040024325</v>
      </c>
      <c r="E578" t="str">
        <f>CONCATENATE("0060169000195       ","")</f>
        <v>0060169000195       </v>
      </c>
      <c r="F578" t="str">
        <f>CONCATENATE("1871461","")</f>
        <v>1871461</v>
      </c>
      <c r="G578" t="s">
        <v>851</v>
      </c>
      <c r="H578" t="s">
        <v>1267</v>
      </c>
      <c r="I578" t="s">
        <v>1268</v>
      </c>
      <c r="J578" t="str">
        <f t="shared" si="63"/>
        <v>080601</v>
      </c>
      <c r="K578" t="s">
        <v>22</v>
      </c>
      <c r="L578" t="s">
        <v>23</v>
      </c>
      <c r="M578" t="str">
        <f t="shared" si="64"/>
        <v>1</v>
      </c>
      <c r="O578" t="str">
        <f t="shared" si="65"/>
        <v>1 </v>
      </c>
      <c r="P578">
        <v>38.05</v>
      </c>
      <c r="Q578" t="s">
        <v>24</v>
      </c>
    </row>
    <row r="579" spans="1:17" ht="15">
      <c r="A579" t="s">
        <v>17</v>
      </c>
      <c r="B579" s="1">
        <v>41831</v>
      </c>
      <c r="C579" t="s">
        <v>191</v>
      </c>
      <c r="D579" t="str">
        <f>CONCATENATE("0040006355","")</f>
        <v>0040006355</v>
      </c>
      <c r="E579" t="str">
        <f>CONCATENATE("0060169000320       ","")</f>
        <v>0060169000320       </v>
      </c>
      <c r="F579" t="str">
        <f>CONCATENATE("605347829","")</f>
        <v>605347829</v>
      </c>
      <c r="G579" t="s">
        <v>851</v>
      </c>
      <c r="H579" t="s">
        <v>1269</v>
      </c>
      <c r="I579" t="s">
        <v>1270</v>
      </c>
      <c r="J579" t="str">
        <f t="shared" si="63"/>
        <v>080601</v>
      </c>
      <c r="K579" t="s">
        <v>22</v>
      </c>
      <c r="L579" t="s">
        <v>23</v>
      </c>
      <c r="M579" t="str">
        <f t="shared" si="64"/>
        <v>1</v>
      </c>
      <c r="O579" t="str">
        <f t="shared" si="65"/>
        <v>1 </v>
      </c>
      <c r="P579">
        <v>11.75</v>
      </c>
      <c r="Q579" t="s">
        <v>24</v>
      </c>
    </row>
    <row r="580" spans="1:17" ht="15">
      <c r="A580" t="s">
        <v>17</v>
      </c>
      <c r="B580" s="1">
        <v>41831</v>
      </c>
      <c r="C580" t="s">
        <v>191</v>
      </c>
      <c r="D580" t="str">
        <f>CONCATENATE("0040017490","")</f>
        <v>0040017490</v>
      </c>
      <c r="E580" t="str">
        <f>CONCATENATE("0060169000329       ","")</f>
        <v>0060169000329       </v>
      </c>
      <c r="F580" t="str">
        <f>CONCATENATE("1239781","")</f>
        <v>1239781</v>
      </c>
      <c r="G580" t="s">
        <v>851</v>
      </c>
      <c r="H580" t="s">
        <v>1271</v>
      </c>
      <c r="I580" t="s">
        <v>1272</v>
      </c>
      <c r="J580" t="str">
        <f t="shared" si="63"/>
        <v>080601</v>
      </c>
      <c r="K580" t="s">
        <v>22</v>
      </c>
      <c r="L580" t="s">
        <v>23</v>
      </c>
      <c r="M580" t="str">
        <f t="shared" si="64"/>
        <v>1</v>
      </c>
      <c r="O580" t="str">
        <f t="shared" si="65"/>
        <v>1 </v>
      </c>
      <c r="P580">
        <v>149.3</v>
      </c>
      <c r="Q580" t="s">
        <v>24</v>
      </c>
    </row>
    <row r="581" spans="1:17" ht="15">
      <c r="A581" t="s">
        <v>17</v>
      </c>
      <c r="B581" s="1">
        <v>41831</v>
      </c>
      <c r="C581" t="s">
        <v>191</v>
      </c>
      <c r="D581" t="str">
        <f>CONCATENATE("0040023279","")</f>
        <v>0040023279</v>
      </c>
      <c r="E581" t="str">
        <f>CONCATENATE("0060169000446       ","")</f>
        <v>0060169000446       </v>
      </c>
      <c r="F581" t="str">
        <f>CONCATENATE("1861742","")</f>
        <v>1861742</v>
      </c>
      <c r="G581" t="s">
        <v>851</v>
      </c>
      <c r="H581" t="s">
        <v>1273</v>
      </c>
      <c r="I581" t="s">
        <v>1268</v>
      </c>
      <c r="J581" t="str">
        <f t="shared" si="63"/>
        <v>080601</v>
      </c>
      <c r="K581" t="s">
        <v>22</v>
      </c>
      <c r="L581" t="s">
        <v>23</v>
      </c>
      <c r="M581" t="str">
        <f t="shared" si="64"/>
        <v>1</v>
      </c>
      <c r="O581" t="str">
        <f t="shared" si="65"/>
        <v>1 </v>
      </c>
      <c r="P581">
        <v>24.5</v>
      </c>
      <c r="Q581" t="s">
        <v>24</v>
      </c>
    </row>
    <row r="582" spans="1:17" ht="15">
      <c r="A582" t="s">
        <v>17</v>
      </c>
      <c r="B582" s="1">
        <v>41831</v>
      </c>
      <c r="C582" t="s">
        <v>191</v>
      </c>
      <c r="D582" t="str">
        <f>CONCATENATE("0040019462","")</f>
        <v>0040019462</v>
      </c>
      <c r="E582" t="str">
        <f>CONCATENATE("0060169000635       ","")</f>
        <v>0060169000635       </v>
      </c>
      <c r="F582" t="str">
        <f>CONCATENATE("789530","")</f>
        <v>789530</v>
      </c>
      <c r="G582" t="s">
        <v>851</v>
      </c>
      <c r="H582" t="s">
        <v>1274</v>
      </c>
      <c r="I582" t="s">
        <v>1275</v>
      </c>
      <c r="J582" t="str">
        <f t="shared" si="63"/>
        <v>080601</v>
      </c>
      <c r="K582" t="s">
        <v>22</v>
      </c>
      <c r="L582" t="s">
        <v>23</v>
      </c>
      <c r="M582" t="str">
        <f t="shared" si="64"/>
        <v>1</v>
      </c>
      <c r="O582" t="str">
        <f t="shared" si="65"/>
        <v>1 </v>
      </c>
      <c r="P582">
        <v>25.75</v>
      </c>
      <c r="Q582" t="s">
        <v>24</v>
      </c>
    </row>
    <row r="583" spans="1:17" ht="15">
      <c r="A583" t="s">
        <v>17</v>
      </c>
      <c r="B583" s="1">
        <v>41831</v>
      </c>
      <c r="C583" t="s">
        <v>191</v>
      </c>
      <c r="D583" t="str">
        <f>CONCATENATE("0040006385","")</f>
        <v>0040006385</v>
      </c>
      <c r="E583" t="str">
        <f>CONCATENATE("0060170000350       ","")</f>
        <v>0060170000350       </v>
      </c>
      <c r="F583" t="str">
        <f>CONCATENATE("1155855","")</f>
        <v>1155855</v>
      </c>
      <c r="G583" t="s">
        <v>1276</v>
      </c>
      <c r="H583" t="s">
        <v>1277</v>
      </c>
      <c r="I583" t="s">
        <v>1278</v>
      </c>
      <c r="J583" t="str">
        <f t="shared" si="63"/>
        <v>080601</v>
      </c>
      <c r="K583" t="s">
        <v>22</v>
      </c>
      <c r="L583" t="s">
        <v>23</v>
      </c>
      <c r="M583" t="str">
        <f t="shared" si="64"/>
        <v>1</v>
      </c>
      <c r="O583" t="str">
        <f t="shared" si="65"/>
        <v>1 </v>
      </c>
      <c r="P583">
        <v>19.45</v>
      </c>
      <c r="Q583" t="s">
        <v>24</v>
      </c>
    </row>
    <row r="584" spans="1:17" ht="15">
      <c r="A584" t="s">
        <v>17</v>
      </c>
      <c r="B584" s="1">
        <v>41831</v>
      </c>
      <c r="C584" t="s">
        <v>858</v>
      </c>
      <c r="D584" t="str">
        <f>CONCATENATE("0040011953","")</f>
        <v>0040011953</v>
      </c>
      <c r="E584" t="str">
        <f>CONCATENATE("0060175000375       ","")</f>
        <v>0060175000375       </v>
      </c>
      <c r="F584" t="str">
        <f>CONCATENATE("00000565363","")</f>
        <v>00000565363</v>
      </c>
      <c r="G584" t="s">
        <v>1279</v>
      </c>
      <c r="H584" t="s">
        <v>1280</v>
      </c>
      <c r="I584" t="s">
        <v>1281</v>
      </c>
      <c r="J584" t="str">
        <f>CONCATENATE("080604","")</f>
        <v>080604</v>
      </c>
      <c r="K584" t="s">
        <v>22</v>
      </c>
      <c r="L584" t="s">
        <v>23</v>
      </c>
      <c r="M584" t="str">
        <f t="shared" si="64"/>
        <v>1</v>
      </c>
      <c r="O584" t="str">
        <f t="shared" si="65"/>
        <v>1 </v>
      </c>
      <c r="P584">
        <v>1267.3</v>
      </c>
      <c r="Q584" t="s">
        <v>24</v>
      </c>
    </row>
    <row r="585" spans="1:17" ht="15">
      <c r="A585" t="s">
        <v>17</v>
      </c>
      <c r="B585" s="1">
        <v>41831</v>
      </c>
      <c r="C585" t="s">
        <v>191</v>
      </c>
      <c r="D585" t="str">
        <f>CONCATENATE("0040006429","")</f>
        <v>0040006429</v>
      </c>
      <c r="E585" t="str">
        <f>CONCATENATE("0060175000450       ","")</f>
        <v>0060175000450       </v>
      </c>
      <c r="F585" t="str">
        <f>CONCATENATE("2182092","")</f>
        <v>2182092</v>
      </c>
      <c r="G585" t="s">
        <v>1279</v>
      </c>
      <c r="H585" t="s">
        <v>1282</v>
      </c>
      <c r="I585" t="s">
        <v>1283</v>
      </c>
      <c r="J585" t="str">
        <f>CONCATENATE("080601","")</f>
        <v>080601</v>
      </c>
      <c r="K585" t="s">
        <v>22</v>
      </c>
      <c r="L585" t="s">
        <v>23</v>
      </c>
      <c r="M585" t="str">
        <f t="shared" si="64"/>
        <v>1</v>
      </c>
      <c r="O585" t="str">
        <f t="shared" si="65"/>
        <v>1 </v>
      </c>
      <c r="P585">
        <v>18.6</v>
      </c>
      <c r="Q585" t="s">
        <v>24</v>
      </c>
    </row>
    <row r="586" spans="1:17" ht="15">
      <c r="A586" t="s">
        <v>17</v>
      </c>
      <c r="B586" s="1">
        <v>41831</v>
      </c>
      <c r="C586" t="s">
        <v>191</v>
      </c>
      <c r="D586" t="str">
        <f>CONCATENATE("0040006508","")</f>
        <v>0040006508</v>
      </c>
      <c r="E586" t="str">
        <f>CONCATENATE("0060176000620       ","")</f>
        <v>0060176000620       </v>
      </c>
      <c r="F586" t="str">
        <f>CONCATENATE("605398845","")</f>
        <v>605398845</v>
      </c>
      <c r="G586" t="s">
        <v>1284</v>
      </c>
      <c r="H586" t="s">
        <v>1285</v>
      </c>
      <c r="I586" t="s">
        <v>1286</v>
      </c>
      <c r="J586" t="str">
        <f>CONCATENATE("080601","")</f>
        <v>080601</v>
      </c>
      <c r="K586" t="s">
        <v>22</v>
      </c>
      <c r="L586" t="s">
        <v>23</v>
      </c>
      <c r="M586" t="str">
        <f t="shared" si="64"/>
        <v>1</v>
      </c>
      <c r="O586" t="str">
        <f t="shared" si="65"/>
        <v>1 </v>
      </c>
      <c r="P586">
        <v>23.35</v>
      </c>
      <c r="Q586" t="s">
        <v>24</v>
      </c>
    </row>
    <row r="587" spans="1:17" ht="15">
      <c r="A587" t="s">
        <v>17</v>
      </c>
      <c r="B587" s="1">
        <v>41831</v>
      </c>
      <c r="C587" t="s">
        <v>1126</v>
      </c>
      <c r="D587" t="str">
        <f>CONCATENATE("0040018176","")</f>
        <v>0040018176</v>
      </c>
      <c r="E587" t="str">
        <f>CONCATENATE("0060180000150       ","")</f>
        <v>0060180000150       </v>
      </c>
      <c r="F587" t="str">
        <f>CONCATENATE("1435525","")</f>
        <v>1435525</v>
      </c>
      <c r="G587" t="s">
        <v>1287</v>
      </c>
      <c r="H587" t="s">
        <v>1288</v>
      </c>
      <c r="I587" t="s">
        <v>1289</v>
      </c>
      <c r="J587" t="str">
        <f>CONCATENATE("080606","")</f>
        <v>080606</v>
      </c>
      <c r="K587" t="s">
        <v>22</v>
      </c>
      <c r="L587" t="s">
        <v>23</v>
      </c>
      <c r="M587" t="str">
        <f t="shared" si="64"/>
        <v>1</v>
      </c>
      <c r="O587" t="str">
        <f>CONCATENATE("2 ","")</f>
        <v>2 </v>
      </c>
      <c r="P587">
        <v>16.85</v>
      </c>
      <c r="Q587" t="s">
        <v>24</v>
      </c>
    </row>
    <row r="588" spans="1:17" ht="15">
      <c r="A588" t="s">
        <v>17</v>
      </c>
      <c r="B588" s="1">
        <v>41831</v>
      </c>
      <c r="C588" t="s">
        <v>1126</v>
      </c>
      <c r="D588" t="str">
        <f>CONCATENATE("0040021374","")</f>
        <v>0040021374</v>
      </c>
      <c r="E588" t="str">
        <f>CONCATENATE("0060183000290       ","")</f>
        <v>0060183000290       </v>
      </c>
      <c r="F588" t="str">
        <f>CONCATENATE("605934615","")</f>
        <v>605934615</v>
      </c>
      <c r="G588" t="s">
        <v>1290</v>
      </c>
      <c r="H588" t="s">
        <v>1291</v>
      </c>
      <c r="I588" t="s">
        <v>1133</v>
      </c>
      <c r="J588" t="str">
        <f>CONCATENATE("080606","")</f>
        <v>080606</v>
      </c>
      <c r="K588" t="s">
        <v>22</v>
      </c>
      <c r="L588" t="s">
        <v>23</v>
      </c>
      <c r="M588" t="str">
        <f t="shared" si="64"/>
        <v>1</v>
      </c>
      <c r="O588" t="str">
        <f>CONCATENATE("1 ","")</f>
        <v>1 </v>
      </c>
      <c r="P588">
        <v>18.95</v>
      </c>
      <c r="Q588" t="s">
        <v>24</v>
      </c>
    </row>
    <row r="589" spans="1:17" ht="15">
      <c r="A589" t="s">
        <v>17</v>
      </c>
      <c r="B589" s="1">
        <v>41831</v>
      </c>
      <c r="C589" t="s">
        <v>191</v>
      </c>
      <c r="D589" t="str">
        <f>CONCATENATE("0040026230","")</f>
        <v>0040026230</v>
      </c>
      <c r="E589" t="str">
        <f>CONCATENATE("0060190002055       ","")</f>
        <v>0060190002055       </v>
      </c>
      <c r="F589" t="str">
        <f>CONCATENATE("1867276","")</f>
        <v>1867276</v>
      </c>
      <c r="G589" t="s">
        <v>1292</v>
      </c>
      <c r="H589" t="s">
        <v>1293</v>
      </c>
      <c r="I589" t="s">
        <v>1294</v>
      </c>
      <c r="J589" t="str">
        <f aca="true" t="shared" si="66" ref="J589:J597">CONCATENATE("080601","")</f>
        <v>080601</v>
      </c>
      <c r="K589" t="s">
        <v>22</v>
      </c>
      <c r="L589" t="s">
        <v>23</v>
      </c>
      <c r="M589" t="str">
        <f t="shared" si="64"/>
        <v>1</v>
      </c>
      <c r="O589" t="str">
        <f>CONCATENATE("2 ","")</f>
        <v>2 </v>
      </c>
      <c r="P589">
        <v>19.5</v>
      </c>
      <c r="Q589" t="s">
        <v>24</v>
      </c>
    </row>
    <row r="590" spans="1:17" ht="15">
      <c r="A590" t="s">
        <v>17</v>
      </c>
      <c r="B590" s="1">
        <v>41831</v>
      </c>
      <c r="C590" t="s">
        <v>191</v>
      </c>
      <c r="D590" t="str">
        <f>CONCATENATE("0040019487","")</f>
        <v>0040019487</v>
      </c>
      <c r="E590" t="str">
        <f>CONCATENATE("0060190002060       ","")</f>
        <v>0060190002060       </v>
      </c>
      <c r="F590" t="str">
        <f>CONCATENATE("605589928","")</f>
        <v>605589928</v>
      </c>
      <c r="G590" t="s">
        <v>1292</v>
      </c>
      <c r="H590" t="s">
        <v>1295</v>
      </c>
      <c r="I590" t="s">
        <v>1296</v>
      </c>
      <c r="J590" t="str">
        <f t="shared" si="66"/>
        <v>080601</v>
      </c>
      <c r="K590" t="s">
        <v>22</v>
      </c>
      <c r="L590" t="s">
        <v>23</v>
      </c>
      <c r="M590" t="str">
        <f t="shared" si="64"/>
        <v>1</v>
      </c>
      <c r="O590" t="str">
        <f aca="true" t="shared" si="67" ref="O590:O596">CONCATENATE("1 ","")</f>
        <v>1 </v>
      </c>
      <c r="P590">
        <v>9.05</v>
      </c>
      <c r="Q590" t="s">
        <v>24</v>
      </c>
    </row>
    <row r="591" spans="1:17" ht="15">
      <c r="A591" t="s">
        <v>17</v>
      </c>
      <c r="B591" s="1">
        <v>41831</v>
      </c>
      <c r="C591" t="s">
        <v>191</v>
      </c>
      <c r="D591" t="str">
        <f>CONCATENATE("0040019337","")</f>
        <v>0040019337</v>
      </c>
      <c r="E591" t="str">
        <f>CONCATENATE("0060192002040       ","")</f>
        <v>0060192002040       </v>
      </c>
      <c r="F591" t="str">
        <f>CONCATENATE("763900","")</f>
        <v>763900</v>
      </c>
      <c r="G591" t="s">
        <v>1297</v>
      </c>
      <c r="H591" t="s">
        <v>1298</v>
      </c>
      <c r="I591" t="s">
        <v>1299</v>
      </c>
      <c r="J591" t="str">
        <f t="shared" si="66"/>
        <v>080601</v>
      </c>
      <c r="K591" t="s">
        <v>22</v>
      </c>
      <c r="L591" t="s">
        <v>23</v>
      </c>
      <c r="M591" t="str">
        <f t="shared" si="64"/>
        <v>1</v>
      </c>
      <c r="O591" t="str">
        <f t="shared" si="67"/>
        <v>1 </v>
      </c>
      <c r="P591">
        <v>44.6</v>
      </c>
      <c r="Q591" t="s">
        <v>24</v>
      </c>
    </row>
    <row r="592" spans="1:17" ht="15">
      <c r="A592" t="s">
        <v>17</v>
      </c>
      <c r="B592" s="1">
        <v>41831</v>
      </c>
      <c r="C592" t="s">
        <v>191</v>
      </c>
      <c r="D592" t="str">
        <f>CONCATENATE("0040019344","")</f>
        <v>0040019344</v>
      </c>
      <c r="E592" t="str">
        <f>CONCATENATE("0060192002110       ","")</f>
        <v>0060192002110       </v>
      </c>
      <c r="F592" t="str">
        <f>CONCATENATE("763907","")</f>
        <v>763907</v>
      </c>
      <c r="G592" t="s">
        <v>1297</v>
      </c>
      <c r="H592" t="s">
        <v>1300</v>
      </c>
      <c r="I592" t="s">
        <v>1299</v>
      </c>
      <c r="J592" t="str">
        <f t="shared" si="66"/>
        <v>080601</v>
      </c>
      <c r="K592" t="s">
        <v>22</v>
      </c>
      <c r="L592" t="s">
        <v>23</v>
      </c>
      <c r="M592" t="str">
        <f t="shared" si="64"/>
        <v>1</v>
      </c>
      <c r="O592" t="str">
        <f t="shared" si="67"/>
        <v>1 </v>
      </c>
      <c r="P592">
        <v>21.6</v>
      </c>
      <c r="Q592" t="s">
        <v>24</v>
      </c>
    </row>
    <row r="593" spans="1:17" ht="15">
      <c r="A593" t="s">
        <v>17</v>
      </c>
      <c r="B593" s="1">
        <v>41831</v>
      </c>
      <c r="C593" t="s">
        <v>191</v>
      </c>
      <c r="D593" t="str">
        <f>CONCATENATE("0040035866","")</f>
        <v>0040035866</v>
      </c>
      <c r="E593" t="str">
        <f>CONCATENATE("0060198002030       ","")</f>
        <v>0060198002030       </v>
      </c>
      <c r="F593" t="str">
        <f>CONCATENATE("0606753022","")</f>
        <v>0606753022</v>
      </c>
      <c r="G593" t="s">
        <v>1301</v>
      </c>
      <c r="H593" t="s">
        <v>1302</v>
      </c>
      <c r="I593" t="s">
        <v>1303</v>
      </c>
      <c r="J593" t="str">
        <f t="shared" si="66"/>
        <v>080601</v>
      </c>
      <c r="K593" t="s">
        <v>22</v>
      </c>
      <c r="L593" t="s">
        <v>23</v>
      </c>
      <c r="M593" t="str">
        <f t="shared" si="64"/>
        <v>1</v>
      </c>
      <c r="O593" t="str">
        <f t="shared" si="67"/>
        <v>1 </v>
      </c>
      <c r="P593">
        <v>233.45</v>
      </c>
      <c r="Q593" t="s">
        <v>24</v>
      </c>
    </row>
    <row r="594" spans="1:17" ht="15">
      <c r="A594" t="s">
        <v>17</v>
      </c>
      <c r="B594" s="1">
        <v>41831</v>
      </c>
      <c r="C594" t="s">
        <v>191</v>
      </c>
      <c r="D594" t="str">
        <f>CONCATENATE("0040019555","")</f>
        <v>0040019555</v>
      </c>
      <c r="E594" t="str">
        <f>CONCATENATE("0060198002290       ","")</f>
        <v>0060198002290       </v>
      </c>
      <c r="F594" t="str">
        <f>CONCATENATE("605622505","")</f>
        <v>605622505</v>
      </c>
      <c r="G594" t="s">
        <v>1301</v>
      </c>
      <c r="H594" t="s">
        <v>1304</v>
      </c>
      <c r="I594" t="s">
        <v>1305</v>
      </c>
      <c r="J594" t="str">
        <f t="shared" si="66"/>
        <v>080601</v>
      </c>
      <c r="K594" t="s">
        <v>22</v>
      </c>
      <c r="L594" t="s">
        <v>23</v>
      </c>
      <c r="M594" t="str">
        <f t="shared" si="64"/>
        <v>1</v>
      </c>
      <c r="O594" t="str">
        <f t="shared" si="67"/>
        <v>1 </v>
      </c>
      <c r="P594">
        <v>10.6</v>
      </c>
      <c r="Q594" t="s">
        <v>24</v>
      </c>
    </row>
    <row r="595" spans="1:17" ht="15">
      <c r="A595" t="s">
        <v>17</v>
      </c>
      <c r="B595" s="1">
        <v>41831</v>
      </c>
      <c r="C595" t="s">
        <v>191</v>
      </c>
      <c r="D595" t="str">
        <f>CONCATENATE("0040021962","")</f>
        <v>0040021962</v>
      </c>
      <c r="E595" t="str">
        <f>CONCATENATE("0060198002340       ","")</f>
        <v>0060198002340       </v>
      </c>
      <c r="F595" t="str">
        <f>CONCATENATE("1671252","")</f>
        <v>1671252</v>
      </c>
      <c r="G595" t="s">
        <v>1301</v>
      </c>
      <c r="H595" t="s">
        <v>1306</v>
      </c>
      <c r="I595" t="s">
        <v>1307</v>
      </c>
      <c r="J595" t="str">
        <f t="shared" si="66"/>
        <v>080601</v>
      </c>
      <c r="K595" t="s">
        <v>22</v>
      </c>
      <c r="L595" t="s">
        <v>23</v>
      </c>
      <c r="M595" t="str">
        <f t="shared" si="64"/>
        <v>1</v>
      </c>
      <c r="O595" t="str">
        <f t="shared" si="67"/>
        <v>1 </v>
      </c>
      <c r="P595">
        <v>18.6</v>
      </c>
      <c r="Q595" t="s">
        <v>24</v>
      </c>
    </row>
    <row r="596" spans="1:17" ht="15">
      <c r="A596" t="s">
        <v>17</v>
      </c>
      <c r="B596" s="1">
        <v>41831</v>
      </c>
      <c r="C596" t="s">
        <v>191</v>
      </c>
      <c r="D596" t="str">
        <f>CONCATENATE("0040026906","")</f>
        <v>0040026906</v>
      </c>
      <c r="E596" t="str">
        <f>CONCATENATE("0060198002345       ","")</f>
        <v>0060198002345       </v>
      </c>
      <c r="F596" t="str">
        <f>CONCATENATE("1930067","")</f>
        <v>1930067</v>
      </c>
      <c r="G596" t="s">
        <v>1301</v>
      </c>
      <c r="H596" t="s">
        <v>1308</v>
      </c>
      <c r="I596" t="s">
        <v>1309</v>
      </c>
      <c r="J596" t="str">
        <f t="shared" si="66"/>
        <v>080601</v>
      </c>
      <c r="K596" t="s">
        <v>22</v>
      </c>
      <c r="L596" t="s">
        <v>23</v>
      </c>
      <c r="M596" t="str">
        <f t="shared" si="64"/>
        <v>1</v>
      </c>
      <c r="O596" t="str">
        <f t="shared" si="67"/>
        <v>1 </v>
      </c>
      <c r="P596">
        <v>12.85</v>
      </c>
      <c r="Q596" t="s">
        <v>24</v>
      </c>
    </row>
    <row r="597" spans="1:17" ht="15">
      <c r="A597" t="s">
        <v>17</v>
      </c>
      <c r="B597" s="1">
        <v>41831</v>
      </c>
      <c r="C597" t="s">
        <v>191</v>
      </c>
      <c r="D597" t="str">
        <f>CONCATENATE("0040011386","")</f>
        <v>0040011386</v>
      </c>
      <c r="E597" t="str">
        <f>CONCATENATE("0060419000310       ","")</f>
        <v>0060419000310       </v>
      </c>
      <c r="F597" t="str">
        <f>CONCATENATE("605347902","")</f>
        <v>605347902</v>
      </c>
      <c r="G597" t="s">
        <v>1310</v>
      </c>
      <c r="H597" t="s">
        <v>1311</v>
      </c>
      <c r="I597" t="s">
        <v>1312</v>
      </c>
      <c r="J597" t="str">
        <f t="shared" si="66"/>
        <v>080601</v>
      </c>
      <c r="K597" t="s">
        <v>22</v>
      </c>
      <c r="L597" t="s">
        <v>23</v>
      </c>
      <c r="M597" t="str">
        <f t="shared" si="64"/>
        <v>1</v>
      </c>
      <c r="O597" t="str">
        <f>CONCATENATE("4 ","")</f>
        <v>4 </v>
      </c>
      <c r="P597">
        <v>423.3</v>
      </c>
      <c r="Q597" t="s">
        <v>24</v>
      </c>
    </row>
    <row r="598" spans="1:17" ht="15">
      <c r="A598" t="s">
        <v>17</v>
      </c>
      <c r="B598" s="1">
        <v>41831</v>
      </c>
      <c r="C598" t="s">
        <v>858</v>
      </c>
      <c r="D598" t="str">
        <f>CONCATENATE("0040011923","")</f>
        <v>0040011923</v>
      </c>
      <c r="E598" t="str">
        <f>CONCATENATE("0060420000430       ","")</f>
        <v>0060420000430       </v>
      </c>
      <c r="F598" t="str">
        <f>CONCATENATE("605392584","")</f>
        <v>605392584</v>
      </c>
      <c r="G598" t="s">
        <v>1313</v>
      </c>
      <c r="H598" t="s">
        <v>1314</v>
      </c>
      <c r="I598" t="s">
        <v>1315</v>
      </c>
      <c r="J598" t="str">
        <f aca="true" t="shared" si="68" ref="J598:J641">CONCATENATE("080604","")</f>
        <v>080604</v>
      </c>
      <c r="K598" t="s">
        <v>22</v>
      </c>
      <c r="L598" t="s">
        <v>23</v>
      </c>
      <c r="M598" t="str">
        <f t="shared" si="64"/>
        <v>1</v>
      </c>
      <c r="O598" t="str">
        <f>CONCATENATE("1 ","")</f>
        <v>1 </v>
      </c>
      <c r="P598">
        <v>11.5</v>
      </c>
      <c r="Q598" t="s">
        <v>24</v>
      </c>
    </row>
    <row r="599" spans="1:17" ht="15">
      <c r="A599" t="s">
        <v>17</v>
      </c>
      <c r="B599" s="1">
        <v>41831</v>
      </c>
      <c r="C599" t="s">
        <v>858</v>
      </c>
      <c r="D599" t="str">
        <f>CONCATENATE("0040023554","")</f>
        <v>0040023554</v>
      </c>
      <c r="E599" t="str">
        <f>CONCATENATE("0060421000015       ","")</f>
        <v>0060421000015       </v>
      </c>
      <c r="F599" t="str">
        <f>CONCATENATE("1930691","")</f>
        <v>1930691</v>
      </c>
      <c r="G599" t="s">
        <v>1316</v>
      </c>
      <c r="H599" t="s">
        <v>1317</v>
      </c>
      <c r="I599" t="s">
        <v>1318</v>
      </c>
      <c r="J599" t="str">
        <f t="shared" si="68"/>
        <v>080604</v>
      </c>
      <c r="K599" t="s">
        <v>22</v>
      </c>
      <c r="L599" t="s">
        <v>23</v>
      </c>
      <c r="M599" t="str">
        <f t="shared" si="64"/>
        <v>1</v>
      </c>
      <c r="O599" t="str">
        <f>CONCATENATE("1 ","")</f>
        <v>1 </v>
      </c>
      <c r="P599">
        <v>11.6</v>
      </c>
      <c r="Q599" t="s">
        <v>24</v>
      </c>
    </row>
    <row r="600" spans="1:17" ht="15">
      <c r="A600" t="s">
        <v>17</v>
      </c>
      <c r="B600" s="1">
        <v>41831</v>
      </c>
      <c r="C600" t="s">
        <v>858</v>
      </c>
      <c r="D600" t="str">
        <f>CONCATENATE("0040006581","")</f>
        <v>0040006581</v>
      </c>
      <c r="E600" t="str">
        <f>CONCATENATE("0060421000140       ","")</f>
        <v>0060421000140       </v>
      </c>
      <c r="F600" t="str">
        <f>CONCATENATE("05422887","")</f>
        <v>05422887</v>
      </c>
      <c r="G600" t="s">
        <v>1316</v>
      </c>
      <c r="H600" t="s">
        <v>1319</v>
      </c>
      <c r="I600" t="s">
        <v>1320</v>
      </c>
      <c r="J600" t="str">
        <f t="shared" si="68"/>
        <v>080604</v>
      </c>
      <c r="K600" t="s">
        <v>22</v>
      </c>
      <c r="L600" t="s">
        <v>23</v>
      </c>
      <c r="M600" t="str">
        <f t="shared" si="64"/>
        <v>1</v>
      </c>
      <c r="O600" t="str">
        <f>CONCATENATE("1 ","")</f>
        <v>1 </v>
      </c>
      <c r="P600">
        <v>24.65</v>
      </c>
      <c r="Q600" t="s">
        <v>24</v>
      </c>
    </row>
    <row r="601" spans="1:17" ht="15">
      <c r="A601" t="s">
        <v>17</v>
      </c>
      <c r="B601" s="1">
        <v>41831</v>
      </c>
      <c r="C601" t="s">
        <v>858</v>
      </c>
      <c r="D601" t="str">
        <f>CONCATENATE("0040007602","")</f>
        <v>0040007602</v>
      </c>
      <c r="E601" t="str">
        <f>CONCATENATE("0060421000500       ","")</f>
        <v>0060421000500       </v>
      </c>
      <c r="F601" t="str">
        <f>CONCATENATE("7442718","")</f>
        <v>7442718</v>
      </c>
      <c r="G601" t="s">
        <v>1316</v>
      </c>
      <c r="H601" t="s">
        <v>1321</v>
      </c>
      <c r="I601" t="s">
        <v>1322</v>
      </c>
      <c r="J601" t="str">
        <f t="shared" si="68"/>
        <v>080604</v>
      </c>
      <c r="K601" t="s">
        <v>22</v>
      </c>
      <c r="L601" t="s">
        <v>23</v>
      </c>
      <c r="M601" t="str">
        <f t="shared" si="64"/>
        <v>1</v>
      </c>
      <c r="O601" t="str">
        <f>CONCATENATE("1 ","")</f>
        <v>1 </v>
      </c>
      <c r="P601">
        <v>21.85</v>
      </c>
      <c r="Q601" t="s">
        <v>24</v>
      </c>
    </row>
    <row r="602" spans="1:17" ht="15">
      <c r="A602" t="s">
        <v>17</v>
      </c>
      <c r="B602" s="1">
        <v>41831</v>
      </c>
      <c r="C602" t="s">
        <v>858</v>
      </c>
      <c r="D602" t="str">
        <f>CONCATENATE("0040006609","")</f>
        <v>0040006609</v>
      </c>
      <c r="E602" t="str">
        <f>CONCATENATE("0060422000120       ","")</f>
        <v>0060422000120       </v>
      </c>
      <c r="F602" t="str">
        <f>CONCATENATE("605396717","")</f>
        <v>605396717</v>
      </c>
      <c r="G602" t="s">
        <v>1323</v>
      </c>
      <c r="H602" t="s">
        <v>1324</v>
      </c>
      <c r="I602" t="s">
        <v>1325</v>
      </c>
      <c r="J602" t="str">
        <f t="shared" si="68"/>
        <v>080604</v>
      </c>
      <c r="K602" t="s">
        <v>22</v>
      </c>
      <c r="L602" t="s">
        <v>23</v>
      </c>
      <c r="M602" t="str">
        <f t="shared" si="64"/>
        <v>1</v>
      </c>
      <c r="O602" t="str">
        <f>CONCATENATE("2 ","")</f>
        <v>2 </v>
      </c>
      <c r="P602">
        <v>27.95</v>
      </c>
      <c r="Q602" t="s">
        <v>24</v>
      </c>
    </row>
    <row r="603" spans="1:17" ht="15">
      <c r="A603" t="s">
        <v>17</v>
      </c>
      <c r="B603" s="1">
        <v>41831</v>
      </c>
      <c r="C603" t="s">
        <v>858</v>
      </c>
      <c r="D603" t="str">
        <f>CONCATENATE("0040014325","")</f>
        <v>0040014325</v>
      </c>
      <c r="E603" t="str">
        <f>CONCATENATE("0060422000123       ","")</f>
        <v>0060422000123       </v>
      </c>
      <c r="F603" t="str">
        <f>CONCATENATE("0606030907","")</f>
        <v>0606030907</v>
      </c>
      <c r="G603" t="s">
        <v>1323</v>
      </c>
      <c r="H603" t="s">
        <v>1326</v>
      </c>
      <c r="I603" t="s">
        <v>1327</v>
      </c>
      <c r="J603" t="str">
        <f t="shared" si="68"/>
        <v>080604</v>
      </c>
      <c r="K603" t="s">
        <v>22</v>
      </c>
      <c r="L603" t="s">
        <v>23</v>
      </c>
      <c r="M603" t="str">
        <f t="shared" si="64"/>
        <v>1</v>
      </c>
      <c r="O603" t="str">
        <f aca="true" t="shared" si="69" ref="O603:O609">CONCATENATE("1 ","")</f>
        <v>1 </v>
      </c>
      <c r="P603">
        <v>14.8</v>
      </c>
      <c r="Q603" t="s">
        <v>24</v>
      </c>
    </row>
    <row r="604" spans="1:17" ht="15">
      <c r="A604" t="s">
        <v>17</v>
      </c>
      <c r="B604" s="1">
        <v>41831</v>
      </c>
      <c r="C604" t="s">
        <v>858</v>
      </c>
      <c r="D604" t="str">
        <f>CONCATENATE("0040006649","")</f>
        <v>0040006649</v>
      </c>
      <c r="E604" t="str">
        <f>CONCATENATE("0060422000600       ","")</f>
        <v>0060422000600       </v>
      </c>
      <c r="F604" t="str">
        <f>CONCATENATE("2191210","")</f>
        <v>2191210</v>
      </c>
      <c r="G604" t="s">
        <v>1323</v>
      </c>
      <c r="H604" t="s">
        <v>1328</v>
      </c>
      <c r="I604" t="s">
        <v>1329</v>
      </c>
      <c r="J604" t="str">
        <f t="shared" si="68"/>
        <v>080604</v>
      </c>
      <c r="K604" t="s">
        <v>22</v>
      </c>
      <c r="L604" t="s">
        <v>23</v>
      </c>
      <c r="M604" t="str">
        <f t="shared" si="64"/>
        <v>1</v>
      </c>
      <c r="O604" t="str">
        <f t="shared" si="69"/>
        <v>1 </v>
      </c>
      <c r="P604">
        <v>46.6</v>
      </c>
      <c r="Q604" t="s">
        <v>24</v>
      </c>
    </row>
    <row r="605" spans="1:17" ht="15">
      <c r="A605" t="s">
        <v>17</v>
      </c>
      <c r="B605" s="1">
        <v>41831</v>
      </c>
      <c r="C605" t="s">
        <v>858</v>
      </c>
      <c r="D605" t="str">
        <f>CONCATENATE("0040023262","")</f>
        <v>0040023262</v>
      </c>
      <c r="E605" t="str">
        <f>CONCATENATE("0060424000237       ","")</f>
        <v>0060424000237       </v>
      </c>
      <c r="F605" t="str">
        <f>CONCATENATE("1942622","")</f>
        <v>1942622</v>
      </c>
      <c r="G605" t="s">
        <v>1330</v>
      </c>
      <c r="H605" t="s">
        <v>1331</v>
      </c>
      <c r="I605" t="s">
        <v>1332</v>
      </c>
      <c r="J605" t="str">
        <f t="shared" si="68"/>
        <v>080604</v>
      </c>
      <c r="K605" t="s">
        <v>22</v>
      </c>
      <c r="L605" t="s">
        <v>23</v>
      </c>
      <c r="M605" t="str">
        <f t="shared" si="64"/>
        <v>1</v>
      </c>
      <c r="O605" t="str">
        <f t="shared" si="69"/>
        <v>1 </v>
      </c>
      <c r="P605">
        <v>28</v>
      </c>
      <c r="Q605" t="s">
        <v>24</v>
      </c>
    </row>
    <row r="606" spans="1:17" ht="15">
      <c r="A606" t="s">
        <v>17</v>
      </c>
      <c r="B606" s="1">
        <v>41831</v>
      </c>
      <c r="C606" t="s">
        <v>858</v>
      </c>
      <c r="D606" t="str">
        <f>CONCATENATE("0040023227","")</f>
        <v>0040023227</v>
      </c>
      <c r="E606" t="str">
        <f>CONCATENATE("0060424000482       ","")</f>
        <v>0060424000482       </v>
      </c>
      <c r="F606" t="str">
        <f>CONCATENATE("1931525","")</f>
        <v>1931525</v>
      </c>
      <c r="G606" t="s">
        <v>1330</v>
      </c>
      <c r="H606" t="s">
        <v>1333</v>
      </c>
      <c r="I606" t="s">
        <v>1334</v>
      </c>
      <c r="J606" t="str">
        <f t="shared" si="68"/>
        <v>080604</v>
      </c>
      <c r="K606" t="s">
        <v>22</v>
      </c>
      <c r="L606" t="s">
        <v>23</v>
      </c>
      <c r="M606" t="str">
        <f t="shared" si="64"/>
        <v>1</v>
      </c>
      <c r="O606" t="str">
        <f t="shared" si="69"/>
        <v>1 </v>
      </c>
      <c r="P606">
        <v>38</v>
      </c>
      <c r="Q606" t="s">
        <v>24</v>
      </c>
    </row>
    <row r="607" spans="1:17" ht="15">
      <c r="A607" t="s">
        <v>17</v>
      </c>
      <c r="B607" s="1">
        <v>41831</v>
      </c>
      <c r="C607" t="s">
        <v>858</v>
      </c>
      <c r="D607" t="str">
        <f>CONCATENATE("0040010440","")</f>
        <v>0040010440</v>
      </c>
      <c r="E607" t="str">
        <f>CONCATENATE("0060424002050       ","")</f>
        <v>0060424002050       </v>
      </c>
      <c r="F607" t="str">
        <f>CONCATENATE("605748753","")</f>
        <v>605748753</v>
      </c>
      <c r="G607" t="s">
        <v>1335</v>
      </c>
      <c r="H607" t="s">
        <v>1336</v>
      </c>
      <c r="I607" t="s">
        <v>1337</v>
      </c>
      <c r="J607" t="str">
        <f t="shared" si="68"/>
        <v>080604</v>
      </c>
      <c r="K607" t="s">
        <v>22</v>
      </c>
      <c r="L607" t="s">
        <v>23</v>
      </c>
      <c r="M607" t="str">
        <f t="shared" si="64"/>
        <v>1</v>
      </c>
      <c r="O607" t="str">
        <f t="shared" si="69"/>
        <v>1 </v>
      </c>
      <c r="P607">
        <v>37.65</v>
      </c>
      <c r="Q607" t="s">
        <v>24</v>
      </c>
    </row>
    <row r="608" spans="1:17" ht="15">
      <c r="A608" t="s">
        <v>17</v>
      </c>
      <c r="B608" s="1">
        <v>41831</v>
      </c>
      <c r="C608" t="s">
        <v>858</v>
      </c>
      <c r="D608" t="str">
        <f>CONCATENATE("0040011092","")</f>
        <v>0040011092</v>
      </c>
      <c r="E608" t="str">
        <f>CONCATENATE("0060424010170       ","")</f>
        <v>0060424010170       </v>
      </c>
      <c r="F608" t="str">
        <f>CONCATENATE("05460692","")</f>
        <v>05460692</v>
      </c>
      <c r="G608" t="s">
        <v>1335</v>
      </c>
      <c r="H608" t="s">
        <v>1338</v>
      </c>
      <c r="I608" t="s">
        <v>1339</v>
      </c>
      <c r="J608" t="str">
        <f t="shared" si="68"/>
        <v>080604</v>
      </c>
      <c r="K608" t="s">
        <v>22</v>
      </c>
      <c r="L608" t="s">
        <v>23</v>
      </c>
      <c r="M608" t="str">
        <f t="shared" si="64"/>
        <v>1</v>
      </c>
      <c r="O608" t="str">
        <f t="shared" si="69"/>
        <v>1 </v>
      </c>
      <c r="P608">
        <v>36.65</v>
      </c>
      <c r="Q608" t="s">
        <v>24</v>
      </c>
    </row>
    <row r="609" spans="1:17" ht="15">
      <c r="A609" t="s">
        <v>17</v>
      </c>
      <c r="B609" s="1">
        <v>41831</v>
      </c>
      <c r="C609" t="s">
        <v>858</v>
      </c>
      <c r="D609" t="str">
        <f>CONCATENATE("0040017536","")</f>
        <v>0040017536</v>
      </c>
      <c r="E609" t="str">
        <f>CONCATENATE("0060425000065       ","")</f>
        <v>0060425000065       </v>
      </c>
      <c r="F609" t="str">
        <f>CONCATENATE("1239773","")</f>
        <v>1239773</v>
      </c>
      <c r="G609" t="s">
        <v>1340</v>
      </c>
      <c r="H609" t="s">
        <v>1341</v>
      </c>
      <c r="I609" t="s">
        <v>1342</v>
      </c>
      <c r="J609" t="str">
        <f t="shared" si="68"/>
        <v>080604</v>
      </c>
      <c r="K609" t="s">
        <v>22</v>
      </c>
      <c r="L609" t="s">
        <v>23</v>
      </c>
      <c r="M609" t="str">
        <f t="shared" si="64"/>
        <v>1</v>
      </c>
      <c r="O609" t="str">
        <f t="shared" si="69"/>
        <v>1 </v>
      </c>
      <c r="P609">
        <v>41.15</v>
      </c>
      <c r="Q609" t="s">
        <v>24</v>
      </c>
    </row>
    <row r="610" spans="1:17" ht="15">
      <c r="A610" t="s">
        <v>17</v>
      </c>
      <c r="B610" s="1">
        <v>41831</v>
      </c>
      <c r="C610" t="s">
        <v>858</v>
      </c>
      <c r="D610" t="str">
        <f>CONCATENATE("0040033309","")</f>
        <v>0040033309</v>
      </c>
      <c r="E610" t="str">
        <f>CONCATENATE("0060425000525       ","")</f>
        <v>0060425000525       </v>
      </c>
      <c r="F610" t="str">
        <f>CONCATENATE("0606676420","")</f>
        <v>0606676420</v>
      </c>
      <c r="G610" t="s">
        <v>1340</v>
      </c>
      <c r="H610" t="s">
        <v>1343</v>
      </c>
      <c r="I610" t="s">
        <v>1344</v>
      </c>
      <c r="J610" t="str">
        <f t="shared" si="68"/>
        <v>080604</v>
      </c>
      <c r="K610" t="s">
        <v>22</v>
      </c>
      <c r="L610" t="s">
        <v>23</v>
      </c>
      <c r="M610" t="str">
        <f t="shared" si="64"/>
        <v>1</v>
      </c>
      <c r="O610" t="str">
        <f>CONCATENATE("4 ","")</f>
        <v>4 </v>
      </c>
      <c r="P610">
        <v>77.1</v>
      </c>
      <c r="Q610" t="s">
        <v>24</v>
      </c>
    </row>
    <row r="611" spans="1:17" ht="15">
      <c r="A611" t="s">
        <v>17</v>
      </c>
      <c r="B611" s="1">
        <v>41831</v>
      </c>
      <c r="C611" t="s">
        <v>858</v>
      </c>
      <c r="D611" t="str">
        <f>CONCATENATE("0040020296","")</f>
        <v>0040020296</v>
      </c>
      <c r="E611" t="str">
        <f>CONCATENATE("0060427000035       ","")</f>
        <v>0060427000035       </v>
      </c>
      <c r="F611" t="str">
        <f>CONCATENATE("605759884","")</f>
        <v>605759884</v>
      </c>
      <c r="G611" t="s">
        <v>1345</v>
      </c>
      <c r="H611" t="s">
        <v>1346</v>
      </c>
      <c r="I611" t="s">
        <v>1347</v>
      </c>
      <c r="J611" t="str">
        <f t="shared" si="68"/>
        <v>080604</v>
      </c>
      <c r="K611" t="s">
        <v>22</v>
      </c>
      <c r="L611" t="s">
        <v>23</v>
      </c>
      <c r="M611" t="str">
        <f t="shared" si="64"/>
        <v>1</v>
      </c>
      <c r="O611" t="str">
        <f aca="true" t="shared" si="70" ref="O611:O622">CONCATENATE("1 ","")</f>
        <v>1 </v>
      </c>
      <c r="P611">
        <v>25.25</v>
      </c>
      <c r="Q611" t="s">
        <v>24</v>
      </c>
    </row>
    <row r="612" spans="1:17" ht="15">
      <c r="A612" t="s">
        <v>17</v>
      </c>
      <c r="B612" s="1">
        <v>41831</v>
      </c>
      <c r="C612" t="s">
        <v>858</v>
      </c>
      <c r="D612" t="str">
        <f>CONCATENATE("0040010227","")</f>
        <v>0040010227</v>
      </c>
      <c r="E612" t="str">
        <f>CONCATENATE("0060427000045       ","")</f>
        <v>0060427000045       </v>
      </c>
      <c r="F612" t="str">
        <f>CONCATENATE("7339256","")</f>
        <v>7339256</v>
      </c>
      <c r="G612" t="s">
        <v>1345</v>
      </c>
      <c r="H612" t="s">
        <v>1348</v>
      </c>
      <c r="I612" t="s">
        <v>1349</v>
      </c>
      <c r="J612" t="str">
        <f t="shared" si="68"/>
        <v>080604</v>
      </c>
      <c r="K612" t="s">
        <v>22</v>
      </c>
      <c r="L612" t="s">
        <v>23</v>
      </c>
      <c r="M612" t="str">
        <f t="shared" si="64"/>
        <v>1</v>
      </c>
      <c r="O612" t="str">
        <f t="shared" si="70"/>
        <v>1 </v>
      </c>
      <c r="P612">
        <v>34.25</v>
      </c>
      <c r="Q612" t="s">
        <v>24</v>
      </c>
    </row>
    <row r="613" spans="1:17" ht="15">
      <c r="A613" t="s">
        <v>17</v>
      </c>
      <c r="B613" s="1">
        <v>41831</v>
      </c>
      <c r="C613" t="s">
        <v>858</v>
      </c>
      <c r="D613" t="str">
        <f>CONCATENATE("0040012262","")</f>
        <v>0040012262</v>
      </c>
      <c r="E613" t="str">
        <f>CONCATENATE("0060427000245       ","")</f>
        <v>0060427000245       </v>
      </c>
      <c r="F613" t="str">
        <f>CONCATENATE("605399012","")</f>
        <v>605399012</v>
      </c>
      <c r="G613" t="s">
        <v>1350</v>
      </c>
      <c r="H613" t="s">
        <v>1351</v>
      </c>
      <c r="I613" t="s">
        <v>1352</v>
      </c>
      <c r="J613" t="str">
        <f t="shared" si="68"/>
        <v>080604</v>
      </c>
      <c r="K613" t="s">
        <v>22</v>
      </c>
      <c r="L613" t="s">
        <v>23</v>
      </c>
      <c r="M613" t="str">
        <f t="shared" si="64"/>
        <v>1</v>
      </c>
      <c r="O613" t="str">
        <f t="shared" si="70"/>
        <v>1 </v>
      </c>
      <c r="P613">
        <v>27.35</v>
      </c>
      <c r="Q613" t="s">
        <v>24</v>
      </c>
    </row>
    <row r="614" spans="1:17" ht="15">
      <c r="A614" t="s">
        <v>17</v>
      </c>
      <c r="B614" s="1">
        <v>41831</v>
      </c>
      <c r="C614" t="s">
        <v>858</v>
      </c>
      <c r="D614" t="str">
        <f>CONCATENATE("0040019748","")</f>
        <v>0040019748</v>
      </c>
      <c r="E614" t="str">
        <f>CONCATENATE("0060427000417       ","")</f>
        <v>0060427000417       </v>
      </c>
      <c r="F614" t="str">
        <f>CONCATENATE("605621221","")</f>
        <v>605621221</v>
      </c>
      <c r="G614" t="s">
        <v>1345</v>
      </c>
      <c r="H614" t="s">
        <v>1353</v>
      </c>
      <c r="I614" t="s">
        <v>1354</v>
      </c>
      <c r="J614" t="str">
        <f t="shared" si="68"/>
        <v>080604</v>
      </c>
      <c r="K614" t="s">
        <v>22</v>
      </c>
      <c r="L614" t="s">
        <v>23</v>
      </c>
      <c r="M614" t="str">
        <f t="shared" si="64"/>
        <v>1</v>
      </c>
      <c r="O614" t="str">
        <f t="shared" si="70"/>
        <v>1 </v>
      </c>
      <c r="P614">
        <v>30.55</v>
      </c>
      <c r="Q614" t="s">
        <v>24</v>
      </c>
    </row>
    <row r="615" spans="1:17" ht="15">
      <c r="A615" t="s">
        <v>17</v>
      </c>
      <c r="B615" s="1">
        <v>41831</v>
      </c>
      <c r="C615" t="s">
        <v>858</v>
      </c>
      <c r="D615" t="str">
        <f>CONCATENATE("0040010225","")</f>
        <v>0040010225</v>
      </c>
      <c r="E615" t="str">
        <f>CONCATENATE("0060427000640       ","")</f>
        <v>0060427000640       </v>
      </c>
      <c r="F615" t="str">
        <f>CONCATENATE("605392577","")</f>
        <v>605392577</v>
      </c>
      <c r="G615" t="s">
        <v>1345</v>
      </c>
      <c r="H615" t="s">
        <v>1355</v>
      </c>
      <c r="I615" t="s">
        <v>1349</v>
      </c>
      <c r="J615" t="str">
        <f t="shared" si="68"/>
        <v>080604</v>
      </c>
      <c r="K615" t="s">
        <v>22</v>
      </c>
      <c r="L615" t="s">
        <v>23</v>
      </c>
      <c r="M615" t="str">
        <f t="shared" si="64"/>
        <v>1</v>
      </c>
      <c r="O615" t="str">
        <f t="shared" si="70"/>
        <v>1 </v>
      </c>
      <c r="P615">
        <v>42.75</v>
      </c>
      <c r="Q615" t="s">
        <v>24</v>
      </c>
    </row>
    <row r="616" spans="1:17" ht="15">
      <c r="A616" t="s">
        <v>17</v>
      </c>
      <c r="B616" s="1">
        <v>41831</v>
      </c>
      <c r="C616" t="s">
        <v>858</v>
      </c>
      <c r="D616" t="str">
        <f>CONCATENATE("0040010263","")</f>
        <v>0040010263</v>
      </c>
      <c r="E616" t="str">
        <f>CONCATENATE("0060427000700       ","")</f>
        <v>0060427000700       </v>
      </c>
      <c r="F616" t="str">
        <f>CONCATENATE("605355144","")</f>
        <v>605355144</v>
      </c>
      <c r="G616" t="s">
        <v>1350</v>
      </c>
      <c r="H616" t="s">
        <v>1356</v>
      </c>
      <c r="I616" t="s">
        <v>1349</v>
      </c>
      <c r="J616" t="str">
        <f t="shared" si="68"/>
        <v>080604</v>
      </c>
      <c r="K616" t="s">
        <v>22</v>
      </c>
      <c r="L616" t="s">
        <v>23</v>
      </c>
      <c r="M616" t="str">
        <f t="shared" si="64"/>
        <v>1</v>
      </c>
      <c r="O616" t="str">
        <f t="shared" si="70"/>
        <v>1 </v>
      </c>
      <c r="P616">
        <v>21.55</v>
      </c>
      <c r="Q616" t="s">
        <v>24</v>
      </c>
    </row>
    <row r="617" spans="1:17" ht="15">
      <c r="A617" t="s">
        <v>17</v>
      </c>
      <c r="B617" s="1">
        <v>41831</v>
      </c>
      <c r="C617" t="s">
        <v>858</v>
      </c>
      <c r="D617" t="str">
        <f>CONCATENATE("0040010163","")</f>
        <v>0040010163</v>
      </c>
      <c r="E617" t="str">
        <f>CONCATENATE("0060427000955       ","")</f>
        <v>0060427000955       </v>
      </c>
      <c r="F617" t="str">
        <f>CONCATENATE("7339276","")</f>
        <v>7339276</v>
      </c>
      <c r="G617" t="s">
        <v>1350</v>
      </c>
      <c r="H617" t="s">
        <v>1357</v>
      </c>
      <c r="I617" t="s">
        <v>1358</v>
      </c>
      <c r="J617" t="str">
        <f t="shared" si="68"/>
        <v>080604</v>
      </c>
      <c r="K617" t="s">
        <v>22</v>
      </c>
      <c r="L617" t="s">
        <v>23</v>
      </c>
      <c r="M617" t="str">
        <f aca="true" t="shared" si="71" ref="M617:M680">CONCATENATE("1","")</f>
        <v>1</v>
      </c>
      <c r="O617" t="str">
        <f t="shared" si="70"/>
        <v>1 </v>
      </c>
      <c r="P617">
        <v>21.6</v>
      </c>
      <c r="Q617" t="s">
        <v>24</v>
      </c>
    </row>
    <row r="618" spans="1:17" ht="15">
      <c r="A618" t="s">
        <v>17</v>
      </c>
      <c r="B618" s="1">
        <v>41831</v>
      </c>
      <c r="C618" t="s">
        <v>858</v>
      </c>
      <c r="D618" t="str">
        <f>CONCATENATE("0040010615","")</f>
        <v>0040010615</v>
      </c>
      <c r="E618" t="str">
        <f>CONCATENATE("0060428000870       ","")</f>
        <v>0060428000870       </v>
      </c>
      <c r="F618" t="str">
        <f>CONCATENATE("605749190","")</f>
        <v>605749190</v>
      </c>
      <c r="G618" t="s">
        <v>1359</v>
      </c>
      <c r="H618" t="s">
        <v>1360</v>
      </c>
      <c r="I618" t="s">
        <v>1361</v>
      </c>
      <c r="J618" t="str">
        <f t="shared" si="68"/>
        <v>080604</v>
      </c>
      <c r="K618" t="s">
        <v>22</v>
      </c>
      <c r="L618" t="s">
        <v>23</v>
      </c>
      <c r="M618" t="str">
        <f t="shared" si="71"/>
        <v>1</v>
      </c>
      <c r="O618" t="str">
        <f t="shared" si="70"/>
        <v>1 </v>
      </c>
      <c r="P618">
        <v>46.3</v>
      </c>
      <c r="Q618" t="s">
        <v>24</v>
      </c>
    </row>
    <row r="619" spans="1:17" ht="15">
      <c r="A619" t="s">
        <v>17</v>
      </c>
      <c r="B619" s="1">
        <v>41831</v>
      </c>
      <c r="C619" t="s">
        <v>858</v>
      </c>
      <c r="D619" t="str">
        <f>CONCATENATE("0040011038","")</f>
        <v>0040011038</v>
      </c>
      <c r="E619" t="str">
        <f>CONCATENATE("0060431001095       ","")</f>
        <v>0060431001095       </v>
      </c>
      <c r="F619" t="str">
        <f>CONCATENATE("605744845","")</f>
        <v>605744845</v>
      </c>
      <c r="G619" t="s">
        <v>1362</v>
      </c>
      <c r="H619" t="s">
        <v>1363</v>
      </c>
      <c r="I619" t="s">
        <v>1364</v>
      </c>
      <c r="J619" t="str">
        <f t="shared" si="68"/>
        <v>080604</v>
      </c>
      <c r="K619" t="s">
        <v>22</v>
      </c>
      <c r="L619" t="s">
        <v>23</v>
      </c>
      <c r="M619" t="str">
        <f t="shared" si="71"/>
        <v>1</v>
      </c>
      <c r="O619" t="str">
        <f t="shared" si="70"/>
        <v>1 </v>
      </c>
      <c r="P619">
        <v>23.35</v>
      </c>
      <c r="Q619" t="s">
        <v>24</v>
      </c>
    </row>
    <row r="620" spans="1:17" ht="15">
      <c r="A620" t="s">
        <v>17</v>
      </c>
      <c r="B620" s="1">
        <v>41831</v>
      </c>
      <c r="C620" t="s">
        <v>858</v>
      </c>
      <c r="D620" t="str">
        <f>CONCATENATE("0040013020","")</f>
        <v>0040013020</v>
      </c>
      <c r="E620" t="str">
        <f>CONCATENATE("0060432000073       ","")</f>
        <v>0060432000073       </v>
      </c>
      <c r="F620" t="str">
        <f>CONCATENATE("605744829","")</f>
        <v>605744829</v>
      </c>
      <c r="G620" t="s">
        <v>1365</v>
      </c>
      <c r="H620" t="s">
        <v>1366</v>
      </c>
      <c r="I620" t="s">
        <v>1367</v>
      </c>
      <c r="J620" t="str">
        <f t="shared" si="68"/>
        <v>080604</v>
      </c>
      <c r="K620" t="s">
        <v>22</v>
      </c>
      <c r="L620" t="s">
        <v>23</v>
      </c>
      <c r="M620" t="str">
        <f t="shared" si="71"/>
        <v>1</v>
      </c>
      <c r="O620" t="str">
        <f t="shared" si="70"/>
        <v>1 </v>
      </c>
      <c r="P620">
        <v>20.6</v>
      </c>
      <c r="Q620" t="s">
        <v>24</v>
      </c>
    </row>
    <row r="621" spans="1:17" ht="15">
      <c r="A621" t="s">
        <v>17</v>
      </c>
      <c r="B621" s="1">
        <v>41831</v>
      </c>
      <c r="C621" t="s">
        <v>858</v>
      </c>
      <c r="D621" t="str">
        <f>CONCATENATE("0040008748","")</f>
        <v>0040008748</v>
      </c>
      <c r="E621" t="str">
        <f>CONCATENATE("0060432000140       ","")</f>
        <v>0060432000140       </v>
      </c>
      <c r="F621" t="str">
        <f>CONCATENATE("605744847","")</f>
        <v>605744847</v>
      </c>
      <c r="G621" t="s">
        <v>1365</v>
      </c>
      <c r="H621" t="s">
        <v>1368</v>
      </c>
      <c r="I621" t="s">
        <v>1369</v>
      </c>
      <c r="J621" t="str">
        <f t="shared" si="68"/>
        <v>080604</v>
      </c>
      <c r="K621" t="s">
        <v>22</v>
      </c>
      <c r="L621" t="s">
        <v>23</v>
      </c>
      <c r="M621" t="str">
        <f t="shared" si="71"/>
        <v>1</v>
      </c>
      <c r="O621" t="str">
        <f t="shared" si="70"/>
        <v>1 </v>
      </c>
      <c r="P621">
        <v>51.5</v>
      </c>
      <c r="Q621" t="s">
        <v>24</v>
      </c>
    </row>
    <row r="622" spans="1:17" ht="15">
      <c r="A622" t="s">
        <v>17</v>
      </c>
      <c r="B622" s="1">
        <v>41831</v>
      </c>
      <c r="C622" t="s">
        <v>858</v>
      </c>
      <c r="D622" t="str">
        <f>CONCATENATE("0040010680","")</f>
        <v>0040010680</v>
      </c>
      <c r="E622" t="str">
        <f>CONCATENATE("0060433000063       ","")</f>
        <v>0060433000063       </v>
      </c>
      <c r="F622" t="str">
        <f>CONCATENATE("2127366","")</f>
        <v>2127366</v>
      </c>
      <c r="G622" t="s">
        <v>1370</v>
      </c>
      <c r="H622" t="s">
        <v>1371</v>
      </c>
      <c r="I622" t="s">
        <v>1372</v>
      </c>
      <c r="J622" t="str">
        <f t="shared" si="68"/>
        <v>080604</v>
      </c>
      <c r="K622" t="s">
        <v>22</v>
      </c>
      <c r="L622" t="s">
        <v>23</v>
      </c>
      <c r="M622" t="str">
        <f t="shared" si="71"/>
        <v>1</v>
      </c>
      <c r="O622" t="str">
        <f t="shared" si="70"/>
        <v>1 </v>
      </c>
      <c r="P622">
        <v>28.5</v>
      </c>
      <c r="Q622" t="s">
        <v>24</v>
      </c>
    </row>
    <row r="623" spans="1:17" ht="15">
      <c r="A623" t="s">
        <v>17</v>
      </c>
      <c r="B623" s="1">
        <v>41831</v>
      </c>
      <c r="C623" t="s">
        <v>858</v>
      </c>
      <c r="D623" t="str">
        <f>CONCATENATE("0040011114","")</f>
        <v>0040011114</v>
      </c>
      <c r="E623" t="str">
        <f>CONCATENATE("0060433000295       ","")</f>
        <v>0060433000295       </v>
      </c>
      <c r="F623" t="str">
        <f>CONCATENATE("605348913","")</f>
        <v>605348913</v>
      </c>
      <c r="G623" t="s">
        <v>1373</v>
      </c>
      <c r="H623" t="s">
        <v>1374</v>
      </c>
      <c r="I623" t="s">
        <v>1375</v>
      </c>
      <c r="J623" t="str">
        <f t="shared" si="68"/>
        <v>080604</v>
      </c>
      <c r="K623" t="s">
        <v>22</v>
      </c>
      <c r="L623" t="s">
        <v>23</v>
      </c>
      <c r="M623" t="str">
        <f t="shared" si="71"/>
        <v>1</v>
      </c>
      <c r="O623" t="str">
        <f>CONCATENATE("3 ","")</f>
        <v>3 </v>
      </c>
      <c r="P623">
        <v>41.55</v>
      </c>
      <c r="Q623" t="s">
        <v>24</v>
      </c>
    </row>
    <row r="624" spans="1:17" ht="15">
      <c r="A624" t="s">
        <v>17</v>
      </c>
      <c r="B624" s="1">
        <v>41831</v>
      </c>
      <c r="C624" t="s">
        <v>858</v>
      </c>
      <c r="D624" t="str">
        <f>CONCATENATE("0040010761","")</f>
        <v>0040010761</v>
      </c>
      <c r="E624" t="str">
        <f>CONCATENATE("0060434000230       ","")</f>
        <v>0060434000230       </v>
      </c>
      <c r="F624" t="str">
        <f>CONCATENATE("605742313","")</f>
        <v>605742313</v>
      </c>
      <c r="G624" t="s">
        <v>1376</v>
      </c>
      <c r="H624" t="s">
        <v>1377</v>
      </c>
      <c r="I624" t="s">
        <v>1378</v>
      </c>
      <c r="J624" t="str">
        <f t="shared" si="68"/>
        <v>080604</v>
      </c>
      <c r="K624" t="s">
        <v>22</v>
      </c>
      <c r="L624" t="s">
        <v>23</v>
      </c>
      <c r="M624" t="str">
        <f t="shared" si="71"/>
        <v>1</v>
      </c>
      <c r="O624" t="str">
        <f aca="true" t="shared" si="72" ref="O624:O629">CONCATENATE("1 ","")</f>
        <v>1 </v>
      </c>
      <c r="P624">
        <v>26.55</v>
      </c>
      <c r="Q624" t="s">
        <v>24</v>
      </c>
    </row>
    <row r="625" spans="1:17" ht="15">
      <c r="A625" t="s">
        <v>17</v>
      </c>
      <c r="B625" s="1">
        <v>41831</v>
      </c>
      <c r="C625" t="s">
        <v>858</v>
      </c>
      <c r="D625" t="str">
        <f>CONCATENATE("0040023593","")</f>
        <v>0040023593</v>
      </c>
      <c r="E625" t="str">
        <f>CONCATENATE("0060435000025       ","")</f>
        <v>0060435000025       </v>
      </c>
      <c r="F625" t="str">
        <f>CONCATENATE("1930241","")</f>
        <v>1930241</v>
      </c>
      <c r="G625" t="s">
        <v>1381</v>
      </c>
      <c r="H625" t="s">
        <v>1379</v>
      </c>
      <c r="I625" t="s">
        <v>1380</v>
      </c>
      <c r="J625" t="str">
        <f t="shared" si="68"/>
        <v>080604</v>
      </c>
      <c r="K625" t="s">
        <v>22</v>
      </c>
      <c r="L625" t="s">
        <v>23</v>
      </c>
      <c r="M625" t="str">
        <f t="shared" si="71"/>
        <v>1</v>
      </c>
      <c r="O625" t="str">
        <f t="shared" si="72"/>
        <v>1 </v>
      </c>
      <c r="P625">
        <v>31.2</v>
      </c>
      <c r="Q625" t="s">
        <v>24</v>
      </c>
    </row>
    <row r="626" spans="1:17" ht="15">
      <c r="A626" t="s">
        <v>17</v>
      </c>
      <c r="B626" s="1">
        <v>41831</v>
      </c>
      <c r="C626" t="s">
        <v>858</v>
      </c>
      <c r="D626" t="str">
        <f>CONCATENATE("0040011234","")</f>
        <v>0040011234</v>
      </c>
      <c r="E626" t="str">
        <f>CONCATENATE("0060435001000       ","")</f>
        <v>0060435001000       </v>
      </c>
      <c r="F626" t="str">
        <f>CONCATENATE("605348397","")</f>
        <v>605348397</v>
      </c>
      <c r="G626" t="s">
        <v>1381</v>
      </c>
      <c r="H626" t="s">
        <v>1382</v>
      </c>
      <c r="I626" t="s">
        <v>1383</v>
      </c>
      <c r="J626" t="str">
        <f t="shared" si="68"/>
        <v>080604</v>
      </c>
      <c r="K626" t="s">
        <v>22</v>
      </c>
      <c r="L626" t="s">
        <v>23</v>
      </c>
      <c r="M626" t="str">
        <f t="shared" si="71"/>
        <v>1</v>
      </c>
      <c r="O626" t="str">
        <f t="shared" si="72"/>
        <v>1 </v>
      </c>
      <c r="P626">
        <v>48.65</v>
      </c>
      <c r="Q626" t="s">
        <v>24</v>
      </c>
    </row>
    <row r="627" spans="1:17" ht="15">
      <c r="A627" t="s">
        <v>17</v>
      </c>
      <c r="B627" s="1">
        <v>41831</v>
      </c>
      <c r="C627" t="s">
        <v>858</v>
      </c>
      <c r="D627" t="str">
        <f>CONCATENATE("0040011249","")</f>
        <v>0040011249</v>
      </c>
      <c r="E627" t="str">
        <f>CONCATENATE("0060435001300       ","")</f>
        <v>0060435001300       </v>
      </c>
      <c r="F627" t="str">
        <f>CONCATENATE("605057105","")</f>
        <v>605057105</v>
      </c>
      <c r="G627" t="s">
        <v>1381</v>
      </c>
      <c r="H627" t="s">
        <v>1384</v>
      </c>
      <c r="I627" t="s">
        <v>1385</v>
      </c>
      <c r="J627" t="str">
        <f t="shared" si="68"/>
        <v>080604</v>
      </c>
      <c r="K627" t="s">
        <v>22</v>
      </c>
      <c r="L627" t="s">
        <v>23</v>
      </c>
      <c r="M627" t="str">
        <f t="shared" si="71"/>
        <v>1</v>
      </c>
      <c r="O627" t="str">
        <f t="shared" si="72"/>
        <v>1 </v>
      </c>
      <c r="P627">
        <v>25.4</v>
      </c>
      <c r="Q627" t="s">
        <v>24</v>
      </c>
    </row>
    <row r="628" spans="1:17" ht="15">
      <c r="A628" t="s">
        <v>17</v>
      </c>
      <c r="B628" s="1">
        <v>41831</v>
      </c>
      <c r="C628" t="s">
        <v>858</v>
      </c>
      <c r="D628" t="str">
        <f>CONCATENATE("0040011266","")</f>
        <v>0040011266</v>
      </c>
      <c r="E628" t="str">
        <f>CONCATENATE("0060435001510       ","")</f>
        <v>0060435001510       </v>
      </c>
      <c r="F628" t="str">
        <f>CONCATENATE("605057113","")</f>
        <v>605057113</v>
      </c>
      <c r="G628" t="s">
        <v>1381</v>
      </c>
      <c r="H628" t="s">
        <v>1386</v>
      </c>
      <c r="I628" t="s">
        <v>1387</v>
      </c>
      <c r="J628" t="str">
        <f t="shared" si="68"/>
        <v>080604</v>
      </c>
      <c r="K628" t="s">
        <v>22</v>
      </c>
      <c r="L628" t="s">
        <v>23</v>
      </c>
      <c r="M628" t="str">
        <f t="shared" si="71"/>
        <v>1</v>
      </c>
      <c r="O628" t="str">
        <f t="shared" si="72"/>
        <v>1 </v>
      </c>
      <c r="P628">
        <v>22.25</v>
      </c>
      <c r="Q628" t="s">
        <v>24</v>
      </c>
    </row>
    <row r="629" spans="1:17" ht="15">
      <c r="A629" t="s">
        <v>17</v>
      </c>
      <c r="B629" s="1">
        <v>41831</v>
      </c>
      <c r="C629" t="s">
        <v>858</v>
      </c>
      <c r="D629" t="str">
        <f>CONCATENATE("0040021544","")</f>
        <v>0040021544</v>
      </c>
      <c r="E629" t="str">
        <f>CONCATENATE("0060435010290       ","")</f>
        <v>0060435010290       </v>
      </c>
      <c r="F629" t="str">
        <f>CONCATENATE("0606031735","")</f>
        <v>0606031735</v>
      </c>
      <c r="G629" t="s">
        <v>1381</v>
      </c>
      <c r="H629" t="s">
        <v>1388</v>
      </c>
      <c r="I629" t="s">
        <v>1389</v>
      </c>
      <c r="J629" t="str">
        <f t="shared" si="68"/>
        <v>080604</v>
      </c>
      <c r="K629" t="s">
        <v>22</v>
      </c>
      <c r="L629" t="s">
        <v>23</v>
      </c>
      <c r="M629" t="str">
        <f t="shared" si="71"/>
        <v>1</v>
      </c>
      <c r="O629" t="str">
        <f t="shared" si="72"/>
        <v>1 </v>
      </c>
      <c r="P629">
        <v>16.15</v>
      </c>
      <c r="Q629" t="s">
        <v>24</v>
      </c>
    </row>
    <row r="630" spans="1:17" ht="15">
      <c r="A630" t="s">
        <v>17</v>
      </c>
      <c r="B630" s="1">
        <v>41831</v>
      </c>
      <c r="C630" t="s">
        <v>858</v>
      </c>
      <c r="D630" t="str">
        <f>CONCATENATE("0040010996","")</f>
        <v>0040010996</v>
      </c>
      <c r="E630" t="str">
        <f>CONCATENATE("0060436000400       ","")</f>
        <v>0060436000400       </v>
      </c>
      <c r="F630" t="str">
        <f>CONCATENATE("605056065","")</f>
        <v>605056065</v>
      </c>
      <c r="G630" t="s">
        <v>1390</v>
      </c>
      <c r="H630" t="s">
        <v>1391</v>
      </c>
      <c r="I630" t="s">
        <v>1392</v>
      </c>
      <c r="J630" t="str">
        <f t="shared" si="68"/>
        <v>080604</v>
      </c>
      <c r="K630" t="s">
        <v>22</v>
      </c>
      <c r="L630" t="s">
        <v>23</v>
      </c>
      <c r="M630" t="str">
        <f t="shared" si="71"/>
        <v>1</v>
      </c>
      <c r="O630" t="str">
        <f>CONCATENATE("7 ","")</f>
        <v>7 </v>
      </c>
      <c r="P630">
        <v>354.35</v>
      </c>
      <c r="Q630" t="s">
        <v>24</v>
      </c>
    </row>
    <row r="631" spans="1:17" ht="15">
      <c r="A631" t="s">
        <v>17</v>
      </c>
      <c r="B631" s="1">
        <v>41831</v>
      </c>
      <c r="C631" t="s">
        <v>858</v>
      </c>
      <c r="D631" t="str">
        <f>CONCATENATE("0040017612","")</f>
        <v>0040017612</v>
      </c>
      <c r="E631" t="str">
        <f>CONCATENATE("0060439000165       ","")</f>
        <v>0060439000165       </v>
      </c>
      <c r="F631" t="str">
        <f>CONCATENATE("605056855","")</f>
        <v>605056855</v>
      </c>
      <c r="G631" t="s">
        <v>1393</v>
      </c>
      <c r="H631" t="s">
        <v>1394</v>
      </c>
      <c r="I631" t="s">
        <v>1395</v>
      </c>
      <c r="J631" t="str">
        <f t="shared" si="68"/>
        <v>080604</v>
      </c>
      <c r="K631" t="s">
        <v>22</v>
      </c>
      <c r="L631" t="s">
        <v>23</v>
      </c>
      <c r="M631" t="str">
        <f t="shared" si="71"/>
        <v>1</v>
      </c>
      <c r="O631" t="str">
        <f aca="true" t="shared" si="73" ref="O631:O638">CONCATENATE("1 ","")</f>
        <v>1 </v>
      </c>
      <c r="P631">
        <v>44</v>
      </c>
      <c r="Q631" t="s">
        <v>24</v>
      </c>
    </row>
    <row r="632" spans="1:17" ht="15">
      <c r="A632" t="s">
        <v>17</v>
      </c>
      <c r="B632" s="1">
        <v>41831</v>
      </c>
      <c r="C632" t="s">
        <v>858</v>
      </c>
      <c r="D632" t="str">
        <f>CONCATENATE("0040011324","")</f>
        <v>0040011324</v>
      </c>
      <c r="E632" t="str">
        <f>CONCATENATE("0060439000347       ","")</f>
        <v>0060439000347       </v>
      </c>
      <c r="F632" t="str">
        <f>CONCATENATE("605742334","")</f>
        <v>605742334</v>
      </c>
      <c r="G632" t="s">
        <v>1393</v>
      </c>
      <c r="H632" t="s">
        <v>1396</v>
      </c>
      <c r="I632" t="s">
        <v>1397</v>
      </c>
      <c r="J632" t="str">
        <f t="shared" si="68"/>
        <v>080604</v>
      </c>
      <c r="K632" t="s">
        <v>22</v>
      </c>
      <c r="L632" t="s">
        <v>23</v>
      </c>
      <c r="M632" t="str">
        <f t="shared" si="71"/>
        <v>1</v>
      </c>
      <c r="O632" t="str">
        <f t="shared" si="73"/>
        <v>1 </v>
      </c>
      <c r="P632">
        <v>45.25</v>
      </c>
      <c r="Q632" t="s">
        <v>24</v>
      </c>
    </row>
    <row r="633" spans="1:17" ht="15">
      <c r="A633" t="s">
        <v>17</v>
      </c>
      <c r="B633" s="1">
        <v>41831</v>
      </c>
      <c r="C633" t="s">
        <v>858</v>
      </c>
      <c r="D633" t="str">
        <f>CONCATENATE("0040022939","")</f>
        <v>0040022939</v>
      </c>
      <c r="E633" t="str">
        <f>CONCATENATE("0060439000390       ","")</f>
        <v>0060439000390       </v>
      </c>
      <c r="F633" t="str">
        <f>CONCATENATE("1679267","")</f>
        <v>1679267</v>
      </c>
      <c r="G633" t="s">
        <v>1393</v>
      </c>
      <c r="H633" t="s">
        <v>1398</v>
      </c>
      <c r="I633" t="s">
        <v>1399</v>
      </c>
      <c r="J633" t="str">
        <f t="shared" si="68"/>
        <v>080604</v>
      </c>
      <c r="K633" t="s">
        <v>22</v>
      </c>
      <c r="L633" t="s">
        <v>23</v>
      </c>
      <c r="M633" t="str">
        <f t="shared" si="71"/>
        <v>1</v>
      </c>
      <c r="O633" t="str">
        <f t="shared" si="73"/>
        <v>1 </v>
      </c>
      <c r="P633">
        <v>18.15</v>
      </c>
      <c r="Q633" t="s">
        <v>24</v>
      </c>
    </row>
    <row r="634" spans="1:17" ht="15">
      <c r="A634" t="s">
        <v>17</v>
      </c>
      <c r="B634" s="1">
        <v>41831</v>
      </c>
      <c r="C634" t="s">
        <v>858</v>
      </c>
      <c r="D634" t="str">
        <f>CONCATENATE("0040010868","")</f>
        <v>0040010868</v>
      </c>
      <c r="E634" t="str">
        <f>CONCATENATE("0060439001325       ","")</f>
        <v>0060439001325       </v>
      </c>
      <c r="F634" t="str">
        <f>CONCATENATE("605350163","")</f>
        <v>605350163</v>
      </c>
      <c r="G634" t="s">
        <v>1393</v>
      </c>
      <c r="H634" t="s">
        <v>1400</v>
      </c>
      <c r="I634" t="s">
        <v>1401</v>
      </c>
      <c r="J634" t="str">
        <f t="shared" si="68"/>
        <v>080604</v>
      </c>
      <c r="K634" t="s">
        <v>22</v>
      </c>
      <c r="L634" t="s">
        <v>23</v>
      </c>
      <c r="M634" t="str">
        <f t="shared" si="71"/>
        <v>1</v>
      </c>
      <c r="O634" t="str">
        <f t="shared" si="73"/>
        <v>1 </v>
      </c>
      <c r="P634">
        <v>20.7</v>
      </c>
      <c r="Q634" t="s">
        <v>24</v>
      </c>
    </row>
    <row r="635" spans="1:17" ht="15">
      <c r="A635" t="s">
        <v>17</v>
      </c>
      <c r="B635" s="1">
        <v>41831</v>
      </c>
      <c r="C635" t="s">
        <v>858</v>
      </c>
      <c r="D635" t="str">
        <f>CONCATENATE("0040010874","")</f>
        <v>0040010874</v>
      </c>
      <c r="E635" t="str">
        <f>CONCATENATE("0060439001370       ","")</f>
        <v>0060439001370       </v>
      </c>
      <c r="F635" t="str">
        <f>CONCATENATE("605348811","")</f>
        <v>605348811</v>
      </c>
      <c r="G635" t="s">
        <v>1393</v>
      </c>
      <c r="H635" t="s">
        <v>1402</v>
      </c>
      <c r="I635" t="s">
        <v>1401</v>
      </c>
      <c r="J635" t="str">
        <f t="shared" si="68"/>
        <v>080604</v>
      </c>
      <c r="K635" t="s">
        <v>22</v>
      </c>
      <c r="L635" t="s">
        <v>23</v>
      </c>
      <c r="M635" t="str">
        <f t="shared" si="71"/>
        <v>1</v>
      </c>
      <c r="O635" t="str">
        <f t="shared" si="73"/>
        <v>1 </v>
      </c>
      <c r="P635">
        <v>37.95</v>
      </c>
      <c r="Q635" t="s">
        <v>24</v>
      </c>
    </row>
    <row r="636" spans="1:17" ht="15">
      <c r="A636" t="s">
        <v>17</v>
      </c>
      <c r="B636" s="1">
        <v>41831</v>
      </c>
      <c r="C636" t="s">
        <v>858</v>
      </c>
      <c r="D636" t="str">
        <f>CONCATENATE("0040017139","")</f>
        <v>0040017139</v>
      </c>
      <c r="E636" t="str">
        <f>CONCATENATE("0060439002150       ","")</f>
        <v>0060439002150       </v>
      </c>
      <c r="F636" t="str">
        <f>CONCATENATE("7140","")</f>
        <v>7140</v>
      </c>
      <c r="G636" t="s">
        <v>1403</v>
      </c>
      <c r="H636" t="s">
        <v>1404</v>
      </c>
      <c r="I636" t="s">
        <v>1405</v>
      </c>
      <c r="J636" t="str">
        <f t="shared" si="68"/>
        <v>080604</v>
      </c>
      <c r="K636" t="s">
        <v>22</v>
      </c>
      <c r="L636" t="s">
        <v>23</v>
      </c>
      <c r="M636" t="str">
        <f t="shared" si="71"/>
        <v>1</v>
      </c>
      <c r="O636" t="str">
        <f t="shared" si="73"/>
        <v>1 </v>
      </c>
      <c r="P636">
        <v>20.85</v>
      </c>
      <c r="Q636" t="s">
        <v>24</v>
      </c>
    </row>
    <row r="637" spans="1:17" ht="15">
      <c r="A637" t="s">
        <v>17</v>
      </c>
      <c r="B637" s="1">
        <v>41831</v>
      </c>
      <c r="C637" t="s">
        <v>858</v>
      </c>
      <c r="D637" t="str">
        <f>CONCATENATE("0040011295","")</f>
        <v>0040011295</v>
      </c>
      <c r="E637" t="str">
        <f>CONCATENATE("0060439002515       ","")</f>
        <v>0060439002515       </v>
      </c>
      <c r="F637" t="str">
        <f>CONCATENATE("605556161","")</f>
        <v>605556161</v>
      </c>
      <c r="G637" t="s">
        <v>1403</v>
      </c>
      <c r="H637" t="s">
        <v>1406</v>
      </c>
      <c r="I637" t="s">
        <v>1407</v>
      </c>
      <c r="J637" t="str">
        <f t="shared" si="68"/>
        <v>080604</v>
      </c>
      <c r="K637" t="s">
        <v>22</v>
      </c>
      <c r="L637" t="s">
        <v>23</v>
      </c>
      <c r="M637" t="str">
        <f t="shared" si="71"/>
        <v>1</v>
      </c>
      <c r="O637" t="str">
        <f t="shared" si="73"/>
        <v>1 </v>
      </c>
      <c r="P637">
        <v>22.95</v>
      </c>
      <c r="Q637" t="s">
        <v>24</v>
      </c>
    </row>
    <row r="638" spans="1:17" ht="15">
      <c r="A638" t="s">
        <v>17</v>
      </c>
      <c r="B638" s="1">
        <v>41831</v>
      </c>
      <c r="C638" t="s">
        <v>858</v>
      </c>
      <c r="D638" t="str">
        <f>CONCATENATE("0040020981","")</f>
        <v>0040020981</v>
      </c>
      <c r="E638" t="str">
        <f>CONCATENATE("0060439072020       ","")</f>
        <v>0060439072020       </v>
      </c>
      <c r="F638" t="str">
        <f>CONCATENATE("606033329","")</f>
        <v>606033329</v>
      </c>
      <c r="G638" t="s">
        <v>1403</v>
      </c>
      <c r="H638" t="s">
        <v>1408</v>
      </c>
      <c r="I638" t="s">
        <v>1409</v>
      </c>
      <c r="J638" t="str">
        <f t="shared" si="68"/>
        <v>080604</v>
      </c>
      <c r="K638" t="s">
        <v>22</v>
      </c>
      <c r="L638" t="s">
        <v>23</v>
      </c>
      <c r="M638" t="str">
        <f t="shared" si="71"/>
        <v>1</v>
      </c>
      <c r="O638" t="str">
        <f t="shared" si="73"/>
        <v>1 </v>
      </c>
      <c r="P638">
        <v>22.45</v>
      </c>
      <c r="Q638" t="s">
        <v>24</v>
      </c>
    </row>
    <row r="639" spans="1:17" ht="15">
      <c r="A639" t="s">
        <v>17</v>
      </c>
      <c r="B639" s="1">
        <v>41831</v>
      </c>
      <c r="C639" t="s">
        <v>858</v>
      </c>
      <c r="D639" t="str">
        <f>CONCATENATE("0040025688","")</f>
        <v>0040025688</v>
      </c>
      <c r="E639" t="str">
        <f>CONCATENATE("0060570002071       ","")</f>
        <v>0060570002071       </v>
      </c>
      <c r="F639" t="str">
        <f>CONCATENATE("606032516","")</f>
        <v>606032516</v>
      </c>
      <c r="G639" t="s">
        <v>1410</v>
      </c>
      <c r="H639" t="s">
        <v>1411</v>
      </c>
      <c r="I639" t="s">
        <v>1412</v>
      </c>
      <c r="J639" t="str">
        <f t="shared" si="68"/>
        <v>080604</v>
      </c>
      <c r="K639" t="s">
        <v>22</v>
      </c>
      <c r="L639" t="s">
        <v>23</v>
      </c>
      <c r="M639" t="str">
        <f t="shared" si="71"/>
        <v>1</v>
      </c>
      <c r="O639" t="str">
        <f>CONCATENATE("3 ","")</f>
        <v>3 </v>
      </c>
      <c r="P639">
        <v>122.45</v>
      </c>
      <c r="Q639" t="s">
        <v>24</v>
      </c>
    </row>
    <row r="640" spans="1:17" ht="15">
      <c r="A640" t="s">
        <v>17</v>
      </c>
      <c r="B640" s="1">
        <v>41831</v>
      </c>
      <c r="C640" t="s">
        <v>858</v>
      </c>
      <c r="D640" t="str">
        <f>CONCATENATE("0040025689","")</f>
        <v>0040025689</v>
      </c>
      <c r="E640" t="str">
        <f>CONCATENATE("0060570002081       ","")</f>
        <v>0060570002081       </v>
      </c>
      <c r="F640" t="str">
        <f>CONCATENATE("606036295","")</f>
        <v>606036295</v>
      </c>
      <c r="G640" t="s">
        <v>1410</v>
      </c>
      <c r="H640" t="s">
        <v>1413</v>
      </c>
      <c r="I640" t="s">
        <v>1412</v>
      </c>
      <c r="J640" t="str">
        <f t="shared" si="68"/>
        <v>080604</v>
      </c>
      <c r="K640" t="s">
        <v>22</v>
      </c>
      <c r="L640" t="s">
        <v>23</v>
      </c>
      <c r="M640" t="str">
        <f t="shared" si="71"/>
        <v>1</v>
      </c>
      <c r="O640" t="str">
        <f>CONCATENATE("1 ","")</f>
        <v>1 </v>
      </c>
      <c r="P640">
        <v>51.25</v>
      </c>
      <c r="Q640" t="s">
        <v>24</v>
      </c>
    </row>
    <row r="641" spans="1:17" ht="15">
      <c r="A641" t="s">
        <v>17</v>
      </c>
      <c r="B641" s="1">
        <v>41831</v>
      </c>
      <c r="C641" t="s">
        <v>858</v>
      </c>
      <c r="D641" t="str">
        <f>CONCATENATE("0040025691","")</f>
        <v>0040025691</v>
      </c>
      <c r="E641" t="str">
        <f>CONCATENATE("0060570020135       ","")</f>
        <v>0060570020135       </v>
      </c>
      <c r="F641" t="str">
        <f>CONCATENATE("605935013","")</f>
        <v>605935013</v>
      </c>
      <c r="G641" t="s">
        <v>1410</v>
      </c>
      <c r="H641" t="s">
        <v>1414</v>
      </c>
      <c r="I641" t="s">
        <v>1412</v>
      </c>
      <c r="J641" t="str">
        <f t="shared" si="68"/>
        <v>080604</v>
      </c>
      <c r="K641" t="s">
        <v>22</v>
      </c>
      <c r="L641" t="s">
        <v>23</v>
      </c>
      <c r="M641" t="str">
        <f t="shared" si="71"/>
        <v>1</v>
      </c>
      <c r="O641" t="str">
        <f>CONCATENATE("1 ","")</f>
        <v>1 </v>
      </c>
      <c r="P641">
        <v>52.45</v>
      </c>
      <c r="Q641" t="s">
        <v>24</v>
      </c>
    </row>
    <row r="642" spans="1:17" ht="15">
      <c r="A642" t="s">
        <v>17</v>
      </c>
      <c r="B642" s="1">
        <v>41831</v>
      </c>
      <c r="C642" t="s">
        <v>43</v>
      </c>
      <c r="D642" t="str">
        <f>CONCATENATE("0040024997","")</f>
        <v>0040024997</v>
      </c>
      <c r="E642" t="str">
        <f>CONCATENATE("0500301000130       ","")</f>
        <v>0500301000130       </v>
      </c>
      <c r="F642" t="str">
        <f>CONCATENATE("983072100991","")</f>
        <v>983072100991</v>
      </c>
      <c r="G642" t="s">
        <v>1415</v>
      </c>
      <c r="H642" t="s">
        <v>1416</v>
      </c>
      <c r="I642" t="s">
        <v>1417</v>
      </c>
      <c r="J642" t="str">
        <f>CONCATENATE("080502","")</f>
        <v>080502</v>
      </c>
      <c r="K642" t="s">
        <v>22</v>
      </c>
      <c r="L642" t="s">
        <v>23</v>
      </c>
      <c r="M642" t="str">
        <f t="shared" si="71"/>
        <v>1</v>
      </c>
      <c r="O642" t="str">
        <f>CONCATENATE("1 ","")</f>
        <v>1 </v>
      </c>
      <c r="P642">
        <v>19.85</v>
      </c>
      <c r="Q642" t="s">
        <v>24</v>
      </c>
    </row>
    <row r="643" spans="1:17" ht="15">
      <c r="A643" t="s">
        <v>17</v>
      </c>
      <c r="B643" s="1">
        <v>41831</v>
      </c>
      <c r="C643" t="s">
        <v>18</v>
      </c>
      <c r="D643" t="str">
        <f>CONCATENATE("0040024984","")</f>
        <v>0040024984</v>
      </c>
      <c r="E643" t="str">
        <f>CONCATENATE("0500302000040       ","")</f>
        <v>0500302000040       </v>
      </c>
      <c r="F643" t="str">
        <f>CONCATENATE("983072100995","")</f>
        <v>983072100995</v>
      </c>
      <c r="G643" t="s">
        <v>1418</v>
      </c>
      <c r="H643" t="s">
        <v>1419</v>
      </c>
      <c r="I643" t="s">
        <v>1420</v>
      </c>
      <c r="J643" t="str">
        <f aca="true" t="shared" si="74" ref="J643:J652">CONCATENATE("080503","")</f>
        <v>080503</v>
      </c>
      <c r="K643" t="s">
        <v>22</v>
      </c>
      <c r="L643" t="s">
        <v>23</v>
      </c>
      <c r="M643" t="str">
        <f t="shared" si="71"/>
        <v>1</v>
      </c>
      <c r="O643" t="str">
        <f>CONCATENATE("2 ","")</f>
        <v>2 </v>
      </c>
      <c r="P643">
        <v>20.4</v>
      </c>
      <c r="Q643" t="s">
        <v>24</v>
      </c>
    </row>
    <row r="644" spans="1:17" ht="15">
      <c r="A644" t="s">
        <v>17</v>
      </c>
      <c r="B644" s="1">
        <v>41831</v>
      </c>
      <c r="C644" t="s">
        <v>18</v>
      </c>
      <c r="D644" t="str">
        <f>CONCATENATE("0040024990","")</f>
        <v>0040024990</v>
      </c>
      <c r="E644" t="str">
        <f>CONCATENATE("0500302000060       ","")</f>
        <v>0500302000060       </v>
      </c>
      <c r="F644" t="str">
        <f>CONCATENATE("983072100989","")</f>
        <v>983072100989</v>
      </c>
      <c r="G644" t="s">
        <v>1418</v>
      </c>
      <c r="H644" t="s">
        <v>1421</v>
      </c>
      <c r="I644" t="s">
        <v>1420</v>
      </c>
      <c r="J644" t="str">
        <f t="shared" si="74"/>
        <v>080503</v>
      </c>
      <c r="K644" t="s">
        <v>22</v>
      </c>
      <c r="L644" t="s">
        <v>23</v>
      </c>
      <c r="M644" t="str">
        <f t="shared" si="71"/>
        <v>1</v>
      </c>
      <c r="O644" t="str">
        <f>CONCATENATE("7 ","")</f>
        <v>7 </v>
      </c>
      <c r="P644">
        <v>52.65</v>
      </c>
      <c r="Q644" t="s">
        <v>24</v>
      </c>
    </row>
    <row r="645" spans="1:17" ht="15">
      <c r="A645" t="s">
        <v>17</v>
      </c>
      <c r="B645" s="1">
        <v>41831</v>
      </c>
      <c r="C645" t="s">
        <v>18</v>
      </c>
      <c r="D645" t="str">
        <f>CONCATENATE("0040024992","")</f>
        <v>0040024992</v>
      </c>
      <c r="E645" t="str">
        <f>CONCATENATE("0500302000150       ","")</f>
        <v>0500302000150       </v>
      </c>
      <c r="F645" t="str">
        <f>CONCATENATE("983072101000","")</f>
        <v>983072101000</v>
      </c>
      <c r="G645" t="s">
        <v>1418</v>
      </c>
      <c r="H645" t="s">
        <v>1422</v>
      </c>
      <c r="I645" t="s">
        <v>1420</v>
      </c>
      <c r="J645" t="str">
        <f t="shared" si="74"/>
        <v>080503</v>
      </c>
      <c r="K645" t="s">
        <v>22</v>
      </c>
      <c r="L645" t="s">
        <v>23</v>
      </c>
      <c r="M645" t="str">
        <f t="shared" si="71"/>
        <v>1</v>
      </c>
      <c r="O645" t="str">
        <f>CONCATENATE("2 ","")</f>
        <v>2 </v>
      </c>
      <c r="P645">
        <v>26.7</v>
      </c>
      <c r="Q645" t="s">
        <v>24</v>
      </c>
    </row>
    <row r="646" spans="1:17" ht="15">
      <c r="A646" t="s">
        <v>17</v>
      </c>
      <c r="B646" s="1">
        <v>41831</v>
      </c>
      <c r="C646" t="s">
        <v>18</v>
      </c>
      <c r="D646" t="str">
        <f>CONCATENATE("0040024976","")</f>
        <v>0040024976</v>
      </c>
      <c r="E646" t="str">
        <f>CONCATENATE("0500302000170       ","")</f>
        <v>0500302000170       </v>
      </c>
      <c r="F646" t="str">
        <f>CONCATENATE("983072100998","")</f>
        <v>983072100998</v>
      </c>
      <c r="G646" t="s">
        <v>1418</v>
      </c>
      <c r="H646" t="s">
        <v>1423</v>
      </c>
      <c r="I646" t="s">
        <v>1420</v>
      </c>
      <c r="J646" t="str">
        <f t="shared" si="74"/>
        <v>080503</v>
      </c>
      <c r="K646" t="s">
        <v>22</v>
      </c>
      <c r="L646" t="s">
        <v>23</v>
      </c>
      <c r="M646" t="str">
        <f t="shared" si="71"/>
        <v>1</v>
      </c>
      <c r="O646" t="str">
        <f>CONCATENATE("2 ","")</f>
        <v>2 </v>
      </c>
      <c r="P646">
        <v>19.35</v>
      </c>
      <c r="Q646" t="s">
        <v>24</v>
      </c>
    </row>
    <row r="647" spans="1:17" ht="15">
      <c r="A647" t="s">
        <v>17</v>
      </c>
      <c r="B647" s="1">
        <v>41831</v>
      </c>
      <c r="C647" t="s">
        <v>18</v>
      </c>
      <c r="D647" t="str">
        <f>CONCATENATE("0040024978","")</f>
        <v>0040024978</v>
      </c>
      <c r="E647" t="str">
        <f>CONCATENATE("0500302000190       ","")</f>
        <v>0500302000190       </v>
      </c>
      <c r="F647" t="str">
        <f>CONCATENATE("983072100994","")</f>
        <v>983072100994</v>
      </c>
      <c r="G647" t="s">
        <v>1418</v>
      </c>
      <c r="H647" t="s">
        <v>1424</v>
      </c>
      <c r="I647" t="s">
        <v>1420</v>
      </c>
      <c r="J647" t="str">
        <f t="shared" si="74"/>
        <v>080503</v>
      </c>
      <c r="K647" t="s">
        <v>22</v>
      </c>
      <c r="L647" t="s">
        <v>23</v>
      </c>
      <c r="M647" t="str">
        <f t="shared" si="71"/>
        <v>1</v>
      </c>
      <c r="O647" t="str">
        <f>CONCATENATE("1 ","")</f>
        <v>1 </v>
      </c>
      <c r="P647">
        <v>28.7</v>
      </c>
      <c r="Q647" t="s">
        <v>24</v>
      </c>
    </row>
    <row r="648" spans="1:17" ht="15">
      <c r="A648" t="s">
        <v>17</v>
      </c>
      <c r="B648" s="1">
        <v>41831</v>
      </c>
      <c r="C648" t="s">
        <v>18</v>
      </c>
      <c r="D648" t="str">
        <f>CONCATENATE("0040024967","")</f>
        <v>0040024967</v>
      </c>
      <c r="E648" t="str">
        <f>CONCATENATE("0500303000060       ","")</f>
        <v>0500303000060       </v>
      </c>
      <c r="F648" t="str">
        <f>CONCATENATE("983072100993","")</f>
        <v>983072100993</v>
      </c>
      <c r="G648" t="s">
        <v>1425</v>
      </c>
      <c r="H648" t="s">
        <v>1426</v>
      </c>
      <c r="I648" t="s">
        <v>1420</v>
      </c>
      <c r="J648" t="str">
        <f t="shared" si="74"/>
        <v>080503</v>
      </c>
      <c r="K648" t="s">
        <v>22</v>
      </c>
      <c r="L648" t="s">
        <v>23</v>
      </c>
      <c r="M648" t="str">
        <f t="shared" si="71"/>
        <v>1</v>
      </c>
      <c r="O648" t="str">
        <f>CONCATENATE("1 ","")</f>
        <v>1 </v>
      </c>
      <c r="P648">
        <v>17.8</v>
      </c>
      <c r="Q648" t="s">
        <v>24</v>
      </c>
    </row>
    <row r="649" spans="1:17" ht="15">
      <c r="A649" t="s">
        <v>17</v>
      </c>
      <c r="B649" s="1">
        <v>41831</v>
      </c>
      <c r="C649" t="s">
        <v>18</v>
      </c>
      <c r="D649" t="str">
        <f>CONCATENATE("0040024964","")</f>
        <v>0040024964</v>
      </c>
      <c r="E649" t="str">
        <f>CONCATENATE("0500303000120       ","")</f>
        <v>0500303000120       </v>
      </c>
      <c r="F649" t="str">
        <f>CONCATENATE("983072100994","")</f>
        <v>983072100994</v>
      </c>
      <c r="G649" t="s">
        <v>1425</v>
      </c>
      <c r="H649" t="s">
        <v>1427</v>
      </c>
      <c r="I649" t="s">
        <v>1420</v>
      </c>
      <c r="J649" t="str">
        <f t="shared" si="74"/>
        <v>080503</v>
      </c>
      <c r="K649" t="s">
        <v>22</v>
      </c>
      <c r="L649" t="s">
        <v>23</v>
      </c>
      <c r="M649" t="str">
        <f t="shared" si="71"/>
        <v>1</v>
      </c>
      <c r="O649" t="str">
        <f>CONCATENATE("2 ","")</f>
        <v>2 </v>
      </c>
      <c r="P649">
        <v>19.35</v>
      </c>
      <c r="Q649" t="s">
        <v>24</v>
      </c>
    </row>
    <row r="650" spans="1:17" ht="15">
      <c r="A650" t="s">
        <v>17</v>
      </c>
      <c r="B650" s="1">
        <v>41831</v>
      </c>
      <c r="C650" t="s">
        <v>18</v>
      </c>
      <c r="D650" t="str">
        <f>CONCATENATE("0040024948","")</f>
        <v>0040024948</v>
      </c>
      <c r="E650" t="str">
        <f>CONCATENATE("0500304000070       ","")</f>
        <v>0500304000070       </v>
      </c>
      <c r="F650" t="str">
        <f>CONCATENATE("983072100991","")</f>
        <v>983072100991</v>
      </c>
      <c r="G650" t="s">
        <v>1428</v>
      </c>
      <c r="H650" t="s">
        <v>1429</v>
      </c>
      <c r="I650" t="s">
        <v>1430</v>
      </c>
      <c r="J650" t="str">
        <f t="shared" si="74"/>
        <v>080503</v>
      </c>
      <c r="K650" t="s">
        <v>22</v>
      </c>
      <c r="L650" t="s">
        <v>23</v>
      </c>
      <c r="M650" t="str">
        <f t="shared" si="71"/>
        <v>1</v>
      </c>
      <c r="O650" t="str">
        <f>CONCATENATE("1 ","")</f>
        <v>1 </v>
      </c>
      <c r="P650">
        <v>15.3</v>
      </c>
      <c r="Q650" t="s">
        <v>24</v>
      </c>
    </row>
    <row r="651" spans="1:17" ht="15">
      <c r="A651" t="s">
        <v>17</v>
      </c>
      <c r="B651" s="1">
        <v>41831</v>
      </c>
      <c r="C651" t="s">
        <v>18</v>
      </c>
      <c r="D651" t="str">
        <f>CONCATENATE("0040024957","")</f>
        <v>0040024957</v>
      </c>
      <c r="E651" t="str">
        <f>CONCATENATE("0500304000080       ","")</f>
        <v>0500304000080       </v>
      </c>
      <c r="F651" t="str">
        <f>CONCATENATE("983072100998","")</f>
        <v>983072100998</v>
      </c>
      <c r="G651" t="s">
        <v>1428</v>
      </c>
      <c r="H651" t="s">
        <v>1431</v>
      </c>
      <c r="I651" t="s">
        <v>1430</v>
      </c>
      <c r="J651" t="str">
        <f t="shared" si="74"/>
        <v>080503</v>
      </c>
      <c r="K651" t="s">
        <v>22</v>
      </c>
      <c r="L651" t="s">
        <v>23</v>
      </c>
      <c r="M651" t="str">
        <f t="shared" si="71"/>
        <v>1</v>
      </c>
      <c r="O651" t="str">
        <f>CONCATENATE("1 ","")</f>
        <v>1 </v>
      </c>
      <c r="P651">
        <v>12.85</v>
      </c>
      <c r="Q651" t="s">
        <v>24</v>
      </c>
    </row>
    <row r="652" spans="1:17" ht="15">
      <c r="A652" t="s">
        <v>17</v>
      </c>
      <c r="B652" s="1">
        <v>41831</v>
      </c>
      <c r="C652" t="s">
        <v>18</v>
      </c>
      <c r="D652" t="str">
        <f>CONCATENATE("0040024951","")</f>
        <v>0040024951</v>
      </c>
      <c r="E652" t="str">
        <f>CONCATENATE("0500304000120       ","")</f>
        <v>0500304000120       </v>
      </c>
      <c r="F652" t="str">
        <f>CONCATENATE("983072100978","")</f>
        <v>983072100978</v>
      </c>
      <c r="G652" t="s">
        <v>1428</v>
      </c>
      <c r="H652" t="s">
        <v>1432</v>
      </c>
      <c r="I652" t="s">
        <v>1430</v>
      </c>
      <c r="J652" t="str">
        <f t="shared" si="74"/>
        <v>080503</v>
      </c>
      <c r="K652" t="s">
        <v>22</v>
      </c>
      <c r="L652" t="s">
        <v>23</v>
      </c>
      <c r="M652" t="str">
        <f t="shared" si="71"/>
        <v>1</v>
      </c>
      <c r="O652" t="str">
        <f>CONCATENATE("1 ","")</f>
        <v>1 </v>
      </c>
      <c r="P652">
        <v>13</v>
      </c>
      <c r="Q652" t="s">
        <v>24</v>
      </c>
    </row>
    <row r="653" spans="1:17" ht="15">
      <c r="A653" t="s">
        <v>17</v>
      </c>
      <c r="B653" s="1">
        <v>41831</v>
      </c>
      <c r="C653" t="s">
        <v>92</v>
      </c>
      <c r="D653" t="str">
        <f>CONCATENATE("0040025578","")</f>
        <v>0040025578</v>
      </c>
      <c r="E653" t="str">
        <f>CONCATENATE("0500503000030       ","")</f>
        <v>0500503000030       </v>
      </c>
      <c r="F653" t="str">
        <f>CONCATENATE("983072100927","")</f>
        <v>983072100927</v>
      </c>
      <c r="G653" t="s">
        <v>1433</v>
      </c>
      <c r="H653" t="s">
        <v>1434</v>
      </c>
      <c r="I653" t="s">
        <v>1435</v>
      </c>
      <c r="J653" t="str">
        <f aca="true" t="shared" si="75" ref="J653:J664">CONCATENATE("080505","")</f>
        <v>080505</v>
      </c>
      <c r="K653" t="s">
        <v>22</v>
      </c>
      <c r="L653" t="s">
        <v>23</v>
      </c>
      <c r="M653" t="str">
        <f t="shared" si="71"/>
        <v>1</v>
      </c>
      <c r="O653" t="str">
        <f>CONCATENATE("3 ","")</f>
        <v>3 </v>
      </c>
      <c r="P653">
        <v>29.1</v>
      </c>
      <c r="Q653" t="s">
        <v>24</v>
      </c>
    </row>
    <row r="654" spans="1:17" ht="15">
      <c r="A654" t="s">
        <v>17</v>
      </c>
      <c r="B654" s="1">
        <v>41831</v>
      </c>
      <c r="C654" t="s">
        <v>92</v>
      </c>
      <c r="D654" t="str">
        <f>CONCATENATE("0040025584","")</f>
        <v>0040025584</v>
      </c>
      <c r="E654" t="str">
        <f>CONCATENATE("0500503000090       ","")</f>
        <v>0500503000090       </v>
      </c>
      <c r="F654" t="str">
        <f>CONCATENATE("983072100930","")</f>
        <v>983072100930</v>
      </c>
      <c r="G654" t="s">
        <v>1433</v>
      </c>
      <c r="H654" t="s">
        <v>1436</v>
      </c>
      <c r="I654" t="s">
        <v>1435</v>
      </c>
      <c r="J654" t="str">
        <f t="shared" si="75"/>
        <v>080505</v>
      </c>
      <c r="K654" t="s">
        <v>22</v>
      </c>
      <c r="L654" t="s">
        <v>23</v>
      </c>
      <c r="M654" t="str">
        <f t="shared" si="71"/>
        <v>1</v>
      </c>
      <c r="O654" t="str">
        <f>CONCATENATE("1 ","")</f>
        <v>1 </v>
      </c>
      <c r="P654">
        <v>22.4</v>
      </c>
      <c r="Q654" t="s">
        <v>24</v>
      </c>
    </row>
    <row r="655" spans="1:17" ht="15">
      <c r="A655" t="s">
        <v>17</v>
      </c>
      <c r="B655" s="1">
        <v>41831</v>
      </c>
      <c r="C655" t="s">
        <v>92</v>
      </c>
      <c r="D655" t="str">
        <f>CONCATENATE("0040025304","")</f>
        <v>0040025304</v>
      </c>
      <c r="E655" t="str">
        <f>CONCATENATE("0500506000020       ","")</f>
        <v>0500506000020       </v>
      </c>
      <c r="F655" t="str">
        <f>CONCATENATE("983072100974","")</f>
        <v>983072100974</v>
      </c>
      <c r="G655" t="s">
        <v>1437</v>
      </c>
      <c r="H655" t="s">
        <v>1438</v>
      </c>
      <c r="I655" t="s">
        <v>1439</v>
      </c>
      <c r="J655" t="str">
        <f t="shared" si="75"/>
        <v>080505</v>
      </c>
      <c r="K655" t="s">
        <v>22</v>
      </c>
      <c r="L655" t="s">
        <v>23</v>
      </c>
      <c r="M655" t="str">
        <f t="shared" si="71"/>
        <v>1</v>
      </c>
      <c r="O655" t="str">
        <f>CONCATENATE("1 ","")</f>
        <v>1 </v>
      </c>
      <c r="P655">
        <v>12.85</v>
      </c>
      <c r="Q655" t="s">
        <v>24</v>
      </c>
    </row>
    <row r="656" spans="1:17" ht="15">
      <c r="A656" t="s">
        <v>17</v>
      </c>
      <c r="B656" s="1">
        <v>41831</v>
      </c>
      <c r="C656" t="s">
        <v>92</v>
      </c>
      <c r="D656" t="str">
        <f>CONCATENATE("0040025309","")</f>
        <v>0040025309</v>
      </c>
      <c r="E656" t="str">
        <f>CONCATENATE("0500506000170       ","")</f>
        <v>0500506000170       </v>
      </c>
      <c r="F656" t="str">
        <f>CONCATENATE("983072100931","")</f>
        <v>983072100931</v>
      </c>
      <c r="G656" t="s">
        <v>1437</v>
      </c>
      <c r="H656" t="s">
        <v>1440</v>
      </c>
      <c r="I656" t="s">
        <v>1439</v>
      </c>
      <c r="J656" t="str">
        <f t="shared" si="75"/>
        <v>080505</v>
      </c>
      <c r="K656" t="s">
        <v>22</v>
      </c>
      <c r="L656" t="s">
        <v>23</v>
      </c>
      <c r="M656" t="str">
        <f t="shared" si="71"/>
        <v>1</v>
      </c>
      <c r="O656" t="str">
        <f>CONCATENATE("3 ","")</f>
        <v>3 </v>
      </c>
      <c r="P656">
        <v>25.8</v>
      </c>
      <c r="Q656" t="s">
        <v>24</v>
      </c>
    </row>
    <row r="657" spans="1:17" ht="15">
      <c r="A657" t="s">
        <v>17</v>
      </c>
      <c r="B657" s="1">
        <v>41831</v>
      </c>
      <c r="C657" t="s">
        <v>92</v>
      </c>
      <c r="D657" t="str">
        <f>CONCATENATE("0040025321","")</f>
        <v>0040025321</v>
      </c>
      <c r="E657" t="str">
        <f>CONCATENATE("0500507000010       ","")</f>
        <v>0500507000010       </v>
      </c>
      <c r="F657" t="str">
        <f>CONCATENATE("983072100931","")</f>
        <v>983072100931</v>
      </c>
      <c r="G657" t="s">
        <v>1441</v>
      </c>
      <c r="H657" t="s">
        <v>1442</v>
      </c>
      <c r="I657" t="s">
        <v>1443</v>
      </c>
      <c r="J657" t="str">
        <f t="shared" si="75"/>
        <v>080505</v>
      </c>
      <c r="K657" t="s">
        <v>22</v>
      </c>
      <c r="L657" t="s">
        <v>23</v>
      </c>
      <c r="M657" t="str">
        <f t="shared" si="71"/>
        <v>1</v>
      </c>
      <c r="O657" t="str">
        <f>CONCATENATE("5 ","")</f>
        <v>5 </v>
      </c>
      <c r="P657">
        <v>39.05</v>
      </c>
      <c r="Q657" t="s">
        <v>24</v>
      </c>
    </row>
    <row r="658" spans="1:17" ht="15">
      <c r="A658" t="s">
        <v>17</v>
      </c>
      <c r="B658" s="1">
        <v>41831</v>
      </c>
      <c r="C658" t="s">
        <v>92</v>
      </c>
      <c r="D658" t="str">
        <f>CONCATENATE("0040025322","")</f>
        <v>0040025322</v>
      </c>
      <c r="E658" t="str">
        <f>CONCATENATE("0500507000020       ","")</f>
        <v>0500507000020       </v>
      </c>
      <c r="F658" t="str">
        <f>CONCATENATE("983072100994","")</f>
        <v>983072100994</v>
      </c>
      <c r="G658" t="s">
        <v>1441</v>
      </c>
      <c r="H658" t="s">
        <v>1444</v>
      </c>
      <c r="I658" t="s">
        <v>1443</v>
      </c>
      <c r="J658" t="str">
        <f t="shared" si="75"/>
        <v>080505</v>
      </c>
      <c r="K658" t="s">
        <v>22</v>
      </c>
      <c r="L658" t="s">
        <v>23</v>
      </c>
      <c r="M658" t="str">
        <f t="shared" si="71"/>
        <v>1</v>
      </c>
      <c r="O658" t="str">
        <f>CONCATENATE("2 ","")</f>
        <v>2 </v>
      </c>
      <c r="P658">
        <v>20.4</v>
      </c>
      <c r="Q658" t="s">
        <v>24</v>
      </c>
    </row>
    <row r="659" spans="1:17" ht="15">
      <c r="A659" t="s">
        <v>17</v>
      </c>
      <c r="B659" s="1">
        <v>41831</v>
      </c>
      <c r="C659" t="s">
        <v>92</v>
      </c>
      <c r="D659" t="str">
        <f>CONCATENATE("0040025317","")</f>
        <v>0040025317</v>
      </c>
      <c r="E659" t="str">
        <f>CONCATENATE("0500507000060       ","")</f>
        <v>0500507000060       </v>
      </c>
      <c r="F659" t="str">
        <f>CONCATENATE("983072100926","")</f>
        <v>983072100926</v>
      </c>
      <c r="G659" t="s">
        <v>1441</v>
      </c>
      <c r="H659" t="s">
        <v>1445</v>
      </c>
      <c r="I659" t="s">
        <v>1443</v>
      </c>
      <c r="J659" t="str">
        <f t="shared" si="75"/>
        <v>080505</v>
      </c>
      <c r="K659" t="s">
        <v>22</v>
      </c>
      <c r="L659" t="s">
        <v>23</v>
      </c>
      <c r="M659" t="str">
        <f t="shared" si="71"/>
        <v>1</v>
      </c>
      <c r="O659" t="str">
        <f>CONCATENATE("2 ","")</f>
        <v>2 </v>
      </c>
      <c r="P659">
        <v>26.7</v>
      </c>
      <c r="Q659" t="s">
        <v>24</v>
      </c>
    </row>
    <row r="660" spans="1:17" ht="15">
      <c r="A660" t="s">
        <v>17</v>
      </c>
      <c r="B660" s="1">
        <v>41831</v>
      </c>
      <c r="C660" t="s">
        <v>92</v>
      </c>
      <c r="D660" t="str">
        <f>CONCATENATE("0040025330","")</f>
        <v>0040025330</v>
      </c>
      <c r="E660" t="str">
        <f>CONCATENATE("0500507000090       ","")</f>
        <v>0500507000090       </v>
      </c>
      <c r="F660" t="str">
        <f>CONCATENATE("983072100924","")</f>
        <v>983072100924</v>
      </c>
      <c r="G660" t="s">
        <v>1441</v>
      </c>
      <c r="H660" t="s">
        <v>1446</v>
      </c>
      <c r="I660" t="s">
        <v>1443</v>
      </c>
      <c r="J660" t="str">
        <f t="shared" si="75"/>
        <v>080505</v>
      </c>
      <c r="K660" t="s">
        <v>22</v>
      </c>
      <c r="L660" t="s">
        <v>23</v>
      </c>
      <c r="M660" t="str">
        <f t="shared" si="71"/>
        <v>1</v>
      </c>
      <c r="O660" t="str">
        <f>CONCATENATE("1 ","")</f>
        <v>1 </v>
      </c>
      <c r="P660">
        <v>14</v>
      </c>
      <c r="Q660" t="s">
        <v>24</v>
      </c>
    </row>
    <row r="661" spans="1:17" ht="15">
      <c r="A661" t="s">
        <v>17</v>
      </c>
      <c r="B661" s="1">
        <v>41831</v>
      </c>
      <c r="C661" t="s">
        <v>92</v>
      </c>
      <c r="D661" t="str">
        <f>CONCATENATE("0040025615","")</f>
        <v>0040025615</v>
      </c>
      <c r="E661" t="str">
        <f>CONCATENATE("0500508000020       ","")</f>
        <v>0500508000020       </v>
      </c>
      <c r="F661" t="str">
        <f>CONCATENATE("983072100916","")</f>
        <v>983072100916</v>
      </c>
      <c r="G661" t="s">
        <v>1447</v>
      </c>
      <c r="H661" t="s">
        <v>1448</v>
      </c>
      <c r="I661" t="s">
        <v>1449</v>
      </c>
      <c r="J661" t="str">
        <f t="shared" si="75"/>
        <v>080505</v>
      </c>
      <c r="K661" t="s">
        <v>22</v>
      </c>
      <c r="L661" t="s">
        <v>23</v>
      </c>
      <c r="M661" t="str">
        <f t="shared" si="71"/>
        <v>1</v>
      </c>
      <c r="O661" t="str">
        <f>CONCATENATE("6 ","")</f>
        <v>6 </v>
      </c>
      <c r="P661">
        <v>46.1</v>
      </c>
      <c r="Q661" t="s">
        <v>24</v>
      </c>
    </row>
    <row r="662" spans="1:17" ht="15">
      <c r="A662" t="s">
        <v>17</v>
      </c>
      <c r="B662" s="1">
        <v>41831</v>
      </c>
      <c r="C662" t="s">
        <v>92</v>
      </c>
      <c r="D662" t="str">
        <f>CONCATENATE("0040025622","")</f>
        <v>0040025622</v>
      </c>
      <c r="E662" t="str">
        <f>CONCATENATE("0500508000100       ","")</f>
        <v>0500508000100       </v>
      </c>
      <c r="F662" t="str">
        <f>CONCATENATE("983072100992","")</f>
        <v>983072100992</v>
      </c>
      <c r="G662" t="s">
        <v>1447</v>
      </c>
      <c r="H662" t="s">
        <v>1450</v>
      </c>
      <c r="I662" t="s">
        <v>1449</v>
      </c>
      <c r="J662" t="str">
        <f t="shared" si="75"/>
        <v>080505</v>
      </c>
      <c r="K662" t="s">
        <v>22</v>
      </c>
      <c r="L662" t="s">
        <v>23</v>
      </c>
      <c r="M662" t="str">
        <f t="shared" si="71"/>
        <v>1</v>
      </c>
      <c r="O662" t="str">
        <f>CONCATENATE("3 ","")</f>
        <v>3 </v>
      </c>
      <c r="P662">
        <v>27.95</v>
      </c>
      <c r="Q662" t="s">
        <v>24</v>
      </c>
    </row>
    <row r="663" spans="1:17" ht="15">
      <c r="A663" t="s">
        <v>17</v>
      </c>
      <c r="B663" s="1">
        <v>41831</v>
      </c>
      <c r="C663" t="s">
        <v>92</v>
      </c>
      <c r="D663" t="str">
        <f>CONCATENATE("0040025619","")</f>
        <v>0040025619</v>
      </c>
      <c r="E663" t="str">
        <f>CONCATENATE("0500508000120       ","")</f>
        <v>0500508000120       </v>
      </c>
      <c r="F663" t="str">
        <f>CONCATENATE("983072100916","")</f>
        <v>983072100916</v>
      </c>
      <c r="G663" t="s">
        <v>1447</v>
      </c>
      <c r="H663" t="s">
        <v>1451</v>
      </c>
      <c r="I663" t="s">
        <v>1449</v>
      </c>
      <c r="J663" t="str">
        <f t="shared" si="75"/>
        <v>080505</v>
      </c>
      <c r="K663" t="s">
        <v>22</v>
      </c>
      <c r="L663" t="s">
        <v>23</v>
      </c>
      <c r="M663" t="str">
        <f t="shared" si="71"/>
        <v>1</v>
      </c>
      <c r="O663" t="str">
        <f>CONCATENATE("2 ","")</f>
        <v>2 </v>
      </c>
      <c r="P663">
        <v>20.05</v>
      </c>
      <c r="Q663" t="s">
        <v>24</v>
      </c>
    </row>
    <row r="664" spans="1:17" ht="15">
      <c r="A664" t="s">
        <v>17</v>
      </c>
      <c r="B664" s="1">
        <v>41831</v>
      </c>
      <c r="C664" t="s">
        <v>92</v>
      </c>
      <c r="D664" t="str">
        <f>CONCATENATE("0040025607","")</f>
        <v>0040025607</v>
      </c>
      <c r="E664" t="str">
        <f>CONCATENATE("0500508000220       ","")</f>
        <v>0500508000220       </v>
      </c>
      <c r="F664" t="str">
        <f>CONCATENATE("983072100997","")</f>
        <v>983072100997</v>
      </c>
      <c r="G664" t="s">
        <v>1447</v>
      </c>
      <c r="H664" t="s">
        <v>1452</v>
      </c>
      <c r="I664" t="s">
        <v>1449</v>
      </c>
      <c r="J664" t="str">
        <f t="shared" si="75"/>
        <v>080505</v>
      </c>
      <c r="K664" t="s">
        <v>22</v>
      </c>
      <c r="L664" t="s">
        <v>23</v>
      </c>
      <c r="M664" t="str">
        <f t="shared" si="71"/>
        <v>1</v>
      </c>
      <c r="O664" t="str">
        <f>CONCATENATE("3 ","")</f>
        <v>3 </v>
      </c>
      <c r="P664">
        <v>42.3</v>
      </c>
      <c r="Q664" t="s">
        <v>24</v>
      </c>
    </row>
    <row r="665" spans="1:17" ht="15">
      <c r="A665" t="s">
        <v>17</v>
      </c>
      <c r="B665" s="1">
        <v>41831</v>
      </c>
      <c r="C665" t="s">
        <v>1453</v>
      </c>
      <c r="D665" t="str">
        <f>CONCATENATE("0040025643","")</f>
        <v>0040025643</v>
      </c>
      <c r="E665" t="str">
        <f>CONCATENATE("0500509000150       ","")</f>
        <v>0500509000150       </v>
      </c>
      <c r="F665" t="str">
        <f>CONCATENATE("983072101003","")</f>
        <v>983072101003</v>
      </c>
      <c r="G665" t="s">
        <v>1454</v>
      </c>
      <c r="H665" t="s">
        <v>1455</v>
      </c>
      <c r="I665" t="s">
        <v>1456</v>
      </c>
      <c r="J665" t="str">
        <f>CONCATENATE("080803","")</f>
        <v>080803</v>
      </c>
      <c r="K665" t="s">
        <v>22</v>
      </c>
      <c r="L665" t="s">
        <v>23</v>
      </c>
      <c r="M665" t="str">
        <f t="shared" si="71"/>
        <v>1</v>
      </c>
      <c r="O665" t="str">
        <f>CONCATENATE("4 ","")</f>
        <v>4 </v>
      </c>
      <c r="P665">
        <v>32.4</v>
      </c>
      <c r="Q665" t="s">
        <v>24</v>
      </c>
    </row>
    <row r="666" spans="1:17" ht="15">
      <c r="A666" t="s">
        <v>17</v>
      </c>
      <c r="B666" s="1">
        <v>41831</v>
      </c>
      <c r="C666" t="s">
        <v>1453</v>
      </c>
      <c r="D666" t="str">
        <f>CONCATENATE("0040025646","")</f>
        <v>0040025646</v>
      </c>
      <c r="E666" t="str">
        <f>CONCATENATE("0500509000220       ","")</f>
        <v>0500509000220       </v>
      </c>
      <c r="F666" t="str">
        <f>CONCATENATE("983072100922","")</f>
        <v>983072100922</v>
      </c>
      <c r="G666" t="s">
        <v>1454</v>
      </c>
      <c r="H666" t="s">
        <v>1457</v>
      </c>
      <c r="I666" t="s">
        <v>1456</v>
      </c>
      <c r="J666" t="str">
        <f>CONCATENATE("080803","")</f>
        <v>080803</v>
      </c>
      <c r="K666" t="s">
        <v>22</v>
      </c>
      <c r="L666" t="s">
        <v>23</v>
      </c>
      <c r="M666" t="str">
        <f t="shared" si="71"/>
        <v>1</v>
      </c>
      <c r="O666" t="str">
        <f>CONCATENATE("1 ","")</f>
        <v>1 </v>
      </c>
      <c r="P666">
        <v>14.9</v>
      </c>
      <c r="Q666" t="s">
        <v>24</v>
      </c>
    </row>
    <row r="667" spans="1:17" ht="15">
      <c r="A667" t="s">
        <v>17</v>
      </c>
      <c r="B667" s="1">
        <v>41831</v>
      </c>
      <c r="C667" t="s">
        <v>1453</v>
      </c>
      <c r="D667" t="str">
        <f>CONCATENATE("0040025664","")</f>
        <v>0040025664</v>
      </c>
      <c r="E667" t="str">
        <f>CONCATENATE("0500510000130       ","")</f>
        <v>0500510000130       </v>
      </c>
      <c r="F667" t="str">
        <f>CONCATENATE("983072100998","")</f>
        <v>983072100998</v>
      </c>
      <c r="G667" t="s">
        <v>1458</v>
      </c>
      <c r="H667" t="s">
        <v>1459</v>
      </c>
      <c r="I667" t="s">
        <v>1460</v>
      </c>
      <c r="J667" t="str">
        <f>CONCATENATE("080803","")</f>
        <v>080803</v>
      </c>
      <c r="K667" t="s">
        <v>22</v>
      </c>
      <c r="L667" t="s">
        <v>23</v>
      </c>
      <c r="M667" t="str">
        <f t="shared" si="71"/>
        <v>1</v>
      </c>
      <c r="O667" t="str">
        <f>CONCATENATE("1 ","")</f>
        <v>1 </v>
      </c>
      <c r="P667">
        <v>12.85</v>
      </c>
      <c r="Q667" t="s">
        <v>24</v>
      </c>
    </row>
    <row r="668" spans="1:17" ht="15">
      <c r="A668" t="s">
        <v>17</v>
      </c>
      <c r="B668" s="1">
        <v>41831</v>
      </c>
      <c r="C668" t="s">
        <v>1453</v>
      </c>
      <c r="D668" t="str">
        <f>CONCATENATE("0040025663","")</f>
        <v>0040025663</v>
      </c>
      <c r="E668" t="str">
        <f>CONCATENATE("0500510000140       ","")</f>
        <v>0500510000140       </v>
      </c>
      <c r="F668" t="str">
        <f>CONCATENATE("983072100998","")</f>
        <v>983072100998</v>
      </c>
      <c r="G668" t="s">
        <v>1458</v>
      </c>
      <c r="H668" t="s">
        <v>1461</v>
      </c>
      <c r="I668" t="s">
        <v>1460</v>
      </c>
      <c r="J668" t="str">
        <f>CONCATENATE("080803","")</f>
        <v>080803</v>
      </c>
      <c r="K668" t="s">
        <v>22</v>
      </c>
      <c r="L668" t="s">
        <v>23</v>
      </c>
      <c r="M668" t="str">
        <f t="shared" si="71"/>
        <v>1</v>
      </c>
      <c r="O668" t="str">
        <f>CONCATENATE("1 ","")</f>
        <v>1 </v>
      </c>
      <c r="P668">
        <v>12.85</v>
      </c>
      <c r="Q668" t="s">
        <v>24</v>
      </c>
    </row>
    <row r="669" spans="1:17" ht="15">
      <c r="A669" t="s">
        <v>17</v>
      </c>
      <c r="B669" s="1">
        <v>41831</v>
      </c>
      <c r="C669" t="s">
        <v>92</v>
      </c>
      <c r="D669" t="str">
        <f>CONCATENATE("0040025678","")</f>
        <v>0040025678</v>
      </c>
      <c r="E669" t="str">
        <f>CONCATENATE("0500511000070       ","")</f>
        <v>0500511000070       </v>
      </c>
      <c r="F669" t="str">
        <f>CONCATENATE("983072100929","")</f>
        <v>983072100929</v>
      </c>
      <c r="G669" t="s">
        <v>1462</v>
      </c>
      <c r="H669" t="s">
        <v>1463</v>
      </c>
      <c r="I669" t="s">
        <v>1464</v>
      </c>
      <c r="J669" t="str">
        <f>CONCATENATE("080505","")</f>
        <v>080505</v>
      </c>
      <c r="K669" t="s">
        <v>22</v>
      </c>
      <c r="L669" t="s">
        <v>23</v>
      </c>
      <c r="M669" t="str">
        <f t="shared" si="71"/>
        <v>1</v>
      </c>
      <c r="O669" t="str">
        <f>CONCATENATE("1 ","")</f>
        <v>1 </v>
      </c>
      <c r="P669">
        <v>12.75</v>
      </c>
      <c r="Q669" t="s">
        <v>24</v>
      </c>
    </row>
    <row r="670" spans="1:17" ht="15">
      <c r="A670" t="s">
        <v>17</v>
      </c>
      <c r="B670" s="1">
        <v>41831</v>
      </c>
      <c r="C670" t="s">
        <v>92</v>
      </c>
      <c r="D670" t="str">
        <f>CONCATENATE("0040025681","")</f>
        <v>0040025681</v>
      </c>
      <c r="E670" t="str">
        <f>CONCATENATE("0500511000100       ","")</f>
        <v>0500511000100       </v>
      </c>
      <c r="F670" t="str">
        <f>CONCATENATE("983072100929","")</f>
        <v>983072100929</v>
      </c>
      <c r="G670" t="s">
        <v>1462</v>
      </c>
      <c r="H670" t="s">
        <v>1465</v>
      </c>
      <c r="I670" t="s">
        <v>1464</v>
      </c>
      <c r="J670" t="str">
        <f>CONCATENATE("080505","")</f>
        <v>080505</v>
      </c>
      <c r="K670" t="s">
        <v>22</v>
      </c>
      <c r="L670" t="s">
        <v>23</v>
      </c>
      <c r="M670" t="str">
        <f t="shared" si="71"/>
        <v>1</v>
      </c>
      <c r="O670" t="str">
        <f>CONCATENATE("3 ","")</f>
        <v>3 </v>
      </c>
      <c r="P670">
        <v>52.4</v>
      </c>
      <c r="Q670" t="s">
        <v>24</v>
      </c>
    </row>
    <row r="671" spans="1:17" ht="15">
      <c r="A671" t="s">
        <v>17</v>
      </c>
      <c r="B671" s="1">
        <v>41831</v>
      </c>
      <c r="C671" t="s">
        <v>1453</v>
      </c>
      <c r="D671" t="str">
        <f>CONCATENATE("0040025675","")</f>
        <v>0040025675</v>
      </c>
      <c r="E671" t="str">
        <f>CONCATENATE("0500511000150       ","")</f>
        <v>0500511000150       </v>
      </c>
      <c r="F671" t="str">
        <f>CONCATENATE("983072100916","")</f>
        <v>983072100916</v>
      </c>
      <c r="G671" t="s">
        <v>1466</v>
      </c>
      <c r="H671" t="s">
        <v>1467</v>
      </c>
      <c r="I671" t="s">
        <v>1464</v>
      </c>
      <c r="J671" t="str">
        <f>CONCATENATE("080803","")</f>
        <v>080803</v>
      </c>
      <c r="K671" t="s">
        <v>22</v>
      </c>
      <c r="L671" t="s">
        <v>23</v>
      </c>
      <c r="M671" t="str">
        <f t="shared" si="71"/>
        <v>1</v>
      </c>
      <c r="O671" t="str">
        <f>CONCATENATE("2 ","")</f>
        <v>2 </v>
      </c>
      <c r="P671">
        <v>19.35</v>
      </c>
      <c r="Q671" t="s">
        <v>24</v>
      </c>
    </row>
    <row r="672" spans="1:17" ht="15">
      <c r="A672" t="s">
        <v>17</v>
      </c>
      <c r="B672" s="1">
        <v>41831</v>
      </c>
      <c r="C672" t="s">
        <v>92</v>
      </c>
      <c r="D672" t="str">
        <f>CONCATENATE("0040025534","")</f>
        <v>0040025534</v>
      </c>
      <c r="E672" t="str">
        <f>CONCATENATE("0500521000100       ","")</f>
        <v>0500521000100       </v>
      </c>
      <c r="F672" t="str">
        <f>CONCATENATE("983072100992","")</f>
        <v>983072100992</v>
      </c>
      <c r="G672" t="s">
        <v>1468</v>
      </c>
      <c r="H672" t="s">
        <v>1469</v>
      </c>
      <c r="I672" t="s">
        <v>1470</v>
      </c>
      <c r="J672" t="str">
        <f aca="true" t="shared" si="76" ref="J672:J693">CONCATENATE("080505","")</f>
        <v>080505</v>
      </c>
      <c r="K672" t="s">
        <v>22</v>
      </c>
      <c r="L672" t="s">
        <v>23</v>
      </c>
      <c r="M672" t="str">
        <f t="shared" si="71"/>
        <v>1</v>
      </c>
      <c r="O672" t="str">
        <f>CONCATENATE("1 ","")</f>
        <v>1 </v>
      </c>
      <c r="P672">
        <v>14.25</v>
      </c>
      <c r="Q672" t="s">
        <v>24</v>
      </c>
    </row>
    <row r="673" spans="1:17" ht="15">
      <c r="A673" t="s">
        <v>17</v>
      </c>
      <c r="B673" s="1">
        <v>41831</v>
      </c>
      <c r="C673" t="s">
        <v>92</v>
      </c>
      <c r="D673" t="str">
        <f>CONCATENATE("0040025517","")</f>
        <v>0040025517</v>
      </c>
      <c r="E673" t="str">
        <f>CONCATENATE("0500522000130       ","")</f>
        <v>0500522000130       </v>
      </c>
      <c r="F673" t="str">
        <f>CONCATENATE("983072100931","")</f>
        <v>983072100931</v>
      </c>
      <c r="G673" t="s">
        <v>1471</v>
      </c>
      <c r="H673" t="s">
        <v>1472</v>
      </c>
      <c r="I673" t="s">
        <v>1473</v>
      </c>
      <c r="J673" t="str">
        <f t="shared" si="76"/>
        <v>080505</v>
      </c>
      <c r="K673" t="s">
        <v>22</v>
      </c>
      <c r="L673" t="s">
        <v>23</v>
      </c>
      <c r="M673" t="str">
        <f t="shared" si="71"/>
        <v>1</v>
      </c>
      <c r="O673" t="str">
        <f>CONCATENATE("1 ","")</f>
        <v>1 </v>
      </c>
      <c r="P673">
        <v>12.8</v>
      </c>
      <c r="Q673" t="s">
        <v>24</v>
      </c>
    </row>
    <row r="674" spans="1:17" ht="15">
      <c r="A674" t="s">
        <v>17</v>
      </c>
      <c r="B674" s="1">
        <v>41831</v>
      </c>
      <c r="C674" t="s">
        <v>92</v>
      </c>
      <c r="D674" t="str">
        <f>CONCATENATE("0040025485","")</f>
        <v>0040025485</v>
      </c>
      <c r="E674" t="str">
        <f>CONCATENATE("0500523000010       ","")</f>
        <v>0500523000010       </v>
      </c>
      <c r="F674" t="str">
        <f>CONCATENATE("983072100991","")</f>
        <v>983072100991</v>
      </c>
      <c r="G674" t="s">
        <v>1474</v>
      </c>
      <c r="H674" t="s">
        <v>1475</v>
      </c>
      <c r="I674" t="s">
        <v>1476</v>
      </c>
      <c r="J674" t="str">
        <f t="shared" si="76"/>
        <v>080505</v>
      </c>
      <c r="K674" t="s">
        <v>22</v>
      </c>
      <c r="L674" t="s">
        <v>23</v>
      </c>
      <c r="M674" t="str">
        <f t="shared" si="71"/>
        <v>1</v>
      </c>
      <c r="O674" t="str">
        <f>CONCATENATE("1 ","")</f>
        <v>1 </v>
      </c>
      <c r="P674">
        <v>21.6</v>
      </c>
      <c r="Q674" t="s">
        <v>24</v>
      </c>
    </row>
    <row r="675" spans="1:17" ht="15">
      <c r="A675" t="s">
        <v>17</v>
      </c>
      <c r="B675" s="1">
        <v>41831</v>
      </c>
      <c r="C675" t="s">
        <v>92</v>
      </c>
      <c r="D675" t="str">
        <f>CONCATENATE("0040025483","")</f>
        <v>0040025483</v>
      </c>
      <c r="E675" t="str">
        <f>CONCATENATE("0500523000060       ","")</f>
        <v>0500523000060       </v>
      </c>
      <c r="F675" t="str">
        <f>CONCATENATE("983072100929","")</f>
        <v>983072100929</v>
      </c>
      <c r="G675" t="s">
        <v>1474</v>
      </c>
      <c r="H675" t="s">
        <v>1477</v>
      </c>
      <c r="I675" t="s">
        <v>1476</v>
      </c>
      <c r="J675" t="str">
        <f t="shared" si="76"/>
        <v>080505</v>
      </c>
      <c r="K675" t="s">
        <v>22</v>
      </c>
      <c r="L675" t="s">
        <v>23</v>
      </c>
      <c r="M675" t="str">
        <f t="shared" si="71"/>
        <v>1</v>
      </c>
      <c r="O675" t="str">
        <f>CONCATENATE("1 ","")</f>
        <v>1 </v>
      </c>
      <c r="P675">
        <v>26.25</v>
      </c>
      <c r="Q675" t="s">
        <v>24</v>
      </c>
    </row>
    <row r="676" spans="1:17" ht="15">
      <c r="A676" t="s">
        <v>17</v>
      </c>
      <c r="B676" s="1">
        <v>41831</v>
      </c>
      <c r="C676" t="s">
        <v>92</v>
      </c>
      <c r="D676" t="str">
        <f>CONCATENATE("0040025441","")</f>
        <v>0040025441</v>
      </c>
      <c r="E676" t="str">
        <f>CONCATENATE("0500530000030       ","")</f>
        <v>0500530000030       </v>
      </c>
      <c r="F676" t="str">
        <f>CONCATENATE("983072100926","")</f>
        <v>983072100926</v>
      </c>
      <c r="G676" t="s">
        <v>1478</v>
      </c>
      <c r="H676" t="s">
        <v>1479</v>
      </c>
      <c r="I676" t="s">
        <v>1480</v>
      </c>
      <c r="J676" t="str">
        <f t="shared" si="76"/>
        <v>080505</v>
      </c>
      <c r="K676" t="s">
        <v>22</v>
      </c>
      <c r="L676" t="s">
        <v>23</v>
      </c>
      <c r="M676" t="str">
        <f t="shared" si="71"/>
        <v>1</v>
      </c>
      <c r="O676" t="str">
        <f>CONCATENATE("2 ","")</f>
        <v>2 </v>
      </c>
      <c r="P676">
        <v>35.1</v>
      </c>
      <c r="Q676" t="s">
        <v>24</v>
      </c>
    </row>
    <row r="677" spans="1:17" ht="15">
      <c r="A677" t="s">
        <v>17</v>
      </c>
      <c r="B677" s="1">
        <v>41831</v>
      </c>
      <c r="C677" t="s">
        <v>92</v>
      </c>
      <c r="D677" t="str">
        <f>CONCATENATE("0040025447","")</f>
        <v>0040025447</v>
      </c>
      <c r="E677" t="str">
        <f>CONCATENATE("0500530000110       ","")</f>
        <v>0500530000110       </v>
      </c>
      <c r="F677" t="str">
        <f>CONCATENATE("983072100926","")</f>
        <v>983072100926</v>
      </c>
      <c r="G677" t="s">
        <v>1478</v>
      </c>
      <c r="H677" t="s">
        <v>1481</v>
      </c>
      <c r="I677" t="s">
        <v>1480</v>
      </c>
      <c r="J677" t="str">
        <f t="shared" si="76"/>
        <v>080505</v>
      </c>
      <c r="K677" t="s">
        <v>22</v>
      </c>
      <c r="L677" t="s">
        <v>23</v>
      </c>
      <c r="M677" t="str">
        <f t="shared" si="71"/>
        <v>1</v>
      </c>
      <c r="O677" t="str">
        <f>CONCATENATE("1 ","")</f>
        <v>1 </v>
      </c>
      <c r="P677">
        <v>14.35</v>
      </c>
      <c r="Q677" t="s">
        <v>24</v>
      </c>
    </row>
    <row r="678" spans="1:17" ht="15">
      <c r="A678" t="s">
        <v>17</v>
      </c>
      <c r="B678" s="1">
        <v>41831</v>
      </c>
      <c r="C678" t="s">
        <v>92</v>
      </c>
      <c r="D678" t="str">
        <f>CONCATENATE("0040025448","")</f>
        <v>0040025448</v>
      </c>
      <c r="E678" t="str">
        <f>CONCATENATE("0500530000130       ","")</f>
        <v>0500530000130       </v>
      </c>
      <c r="F678" t="str">
        <f>CONCATENATE("983072100930","")</f>
        <v>983072100930</v>
      </c>
      <c r="G678" t="s">
        <v>1478</v>
      </c>
      <c r="H678" t="s">
        <v>1482</v>
      </c>
      <c r="I678" t="s">
        <v>1480</v>
      </c>
      <c r="J678" t="str">
        <f t="shared" si="76"/>
        <v>080505</v>
      </c>
      <c r="K678" t="s">
        <v>22</v>
      </c>
      <c r="L678" t="s">
        <v>23</v>
      </c>
      <c r="M678" t="str">
        <f t="shared" si="71"/>
        <v>1</v>
      </c>
      <c r="O678" t="str">
        <f>CONCATENATE("1 ","")</f>
        <v>1 </v>
      </c>
      <c r="P678">
        <v>12.85</v>
      </c>
      <c r="Q678" t="s">
        <v>24</v>
      </c>
    </row>
    <row r="679" spans="1:17" ht="15">
      <c r="A679" t="s">
        <v>17</v>
      </c>
      <c r="B679" s="1">
        <v>41831</v>
      </c>
      <c r="C679" t="s">
        <v>92</v>
      </c>
      <c r="D679" t="str">
        <f>CONCATENATE("0040025458","")</f>
        <v>0040025458</v>
      </c>
      <c r="E679" t="str">
        <f>CONCATENATE("0500531000120       ","")</f>
        <v>0500531000120       </v>
      </c>
      <c r="F679" t="str">
        <f>CONCATENATE("983072100998","")</f>
        <v>983072100998</v>
      </c>
      <c r="G679" t="s">
        <v>1483</v>
      </c>
      <c r="H679" t="s">
        <v>1484</v>
      </c>
      <c r="I679" t="s">
        <v>1485</v>
      </c>
      <c r="J679" t="str">
        <f t="shared" si="76"/>
        <v>080505</v>
      </c>
      <c r="K679" t="s">
        <v>22</v>
      </c>
      <c r="L679" t="s">
        <v>23</v>
      </c>
      <c r="M679" t="str">
        <f t="shared" si="71"/>
        <v>1</v>
      </c>
      <c r="O679" t="str">
        <f>CONCATENATE("2 ","")</f>
        <v>2 </v>
      </c>
      <c r="P679">
        <v>23.2</v>
      </c>
      <c r="Q679" t="s">
        <v>24</v>
      </c>
    </row>
    <row r="680" spans="1:17" ht="15">
      <c r="A680" t="s">
        <v>17</v>
      </c>
      <c r="B680" s="1">
        <v>41831</v>
      </c>
      <c r="C680" t="s">
        <v>92</v>
      </c>
      <c r="D680" t="str">
        <f>CONCATENATE("0040025435","")</f>
        <v>0040025435</v>
      </c>
      <c r="E680" t="str">
        <f>CONCATENATE("0500540000260       ","")</f>
        <v>0500540000260       </v>
      </c>
      <c r="F680" t="str">
        <f>CONCATENATE("983072100997","")</f>
        <v>983072100997</v>
      </c>
      <c r="G680" t="s">
        <v>1478</v>
      </c>
      <c r="H680" t="s">
        <v>1486</v>
      </c>
      <c r="I680" t="s">
        <v>1487</v>
      </c>
      <c r="J680" t="str">
        <f t="shared" si="76"/>
        <v>080505</v>
      </c>
      <c r="K680" t="s">
        <v>22</v>
      </c>
      <c r="L680" t="s">
        <v>23</v>
      </c>
      <c r="M680" t="str">
        <f t="shared" si="71"/>
        <v>1</v>
      </c>
      <c r="O680" t="str">
        <f>CONCATENATE("7 ","")</f>
        <v>7 </v>
      </c>
      <c r="P680">
        <v>52.25</v>
      </c>
      <c r="Q680" t="s">
        <v>24</v>
      </c>
    </row>
    <row r="681" spans="1:17" ht="15">
      <c r="A681" t="s">
        <v>17</v>
      </c>
      <c r="B681" s="1">
        <v>41831</v>
      </c>
      <c r="C681" t="s">
        <v>92</v>
      </c>
      <c r="D681" t="str">
        <f>CONCATENATE("0040025393","")</f>
        <v>0040025393</v>
      </c>
      <c r="E681" t="str">
        <f>CONCATENATE("0500541000010       ","")</f>
        <v>0500541000010       </v>
      </c>
      <c r="F681" t="str">
        <f>CONCATENATE("983072100995","")</f>
        <v>983072100995</v>
      </c>
      <c r="G681" t="s">
        <v>1488</v>
      </c>
      <c r="H681" t="s">
        <v>1489</v>
      </c>
      <c r="I681" t="s">
        <v>1490</v>
      </c>
      <c r="J681" t="str">
        <f t="shared" si="76"/>
        <v>080505</v>
      </c>
      <c r="K681" t="s">
        <v>22</v>
      </c>
      <c r="L681" t="s">
        <v>23</v>
      </c>
      <c r="M681" t="str">
        <f aca="true" t="shared" si="77" ref="M681:M693">CONCATENATE("1","")</f>
        <v>1</v>
      </c>
      <c r="O681" t="str">
        <f>CONCATENATE("1 ","")</f>
        <v>1 </v>
      </c>
      <c r="P681">
        <v>16.4</v>
      </c>
      <c r="Q681" t="s">
        <v>24</v>
      </c>
    </row>
    <row r="682" spans="1:17" ht="15">
      <c r="A682" t="s">
        <v>17</v>
      </c>
      <c r="B682" s="1">
        <v>41831</v>
      </c>
      <c r="C682" t="s">
        <v>92</v>
      </c>
      <c r="D682" t="str">
        <f>CONCATENATE("0040025395","")</f>
        <v>0040025395</v>
      </c>
      <c r="E682" t="str">
        <f>CONCATENATE("0500541000040       ","")</f>
        <v>0500541000040       </v>
      </c>
      <c r="F682" t="str">
        <f>CONCATENATE("983072100995","")</f>
        <v>983072100995</v>
      </c>
      <c r="G682" t="s">
        <v>1488</v>
      </c>
      <c r="H682" t="s">
        <v>1491</v>
      </c>
      <c r="I682" t="s">
        <v>1490</v>
      </c>
      <c r="J682" t="str">
        <f t="shared" si="76"/>
        <v>080505</v>
      </c>
      <c r="K682" t="s">
        <v>22</v>
      </c>
      <c r="L682" t="s">
        <v>23</v>
      </c>
      <c r="M682" t="str">
        <f t="shared" si="77"/>
        <v>1</v>
      </c>
      <c r="O682" t="str">
        <f>CONCATENATE("2 ","")</f>
        <v>2 </v>
      </c>
      <c r="P682">
        <v>31.7</v>
      </c>
      <c r="Q682" t="s">
        <v>24</v>
      </c>
    </row>
    <row r="683" spans="1:17" ht="15">
      <c r="A683" t="s">
        <v>17</v>
      </c>
      <c r="B683" s="1">
        <v>41831</v>
      </c>
      <c r="C683" t="s">
        <v>92</v>
      </c>
      <c r="D683" t="str">
        <f>CONCATENATE("0040025398","")</f>
        <v>0040025398</v>
      </c>
      <c r="E683" t="str">
        <f>CONCATENATE("0500541000130       ","")</f>
        <v>0500541000130       </v>
      </c>
      <c r="F683" t="str">
        <f>CONCATENATE("983072100921","")</f>
        <v>983072100921</v>
      </c>
      <c r="G683" t="s">
        <v>1483</v>
      </c>
      <c r="H683" t="s">
        <v>1492</v>
      </c>
      <c r="I683" t="s">
        <v>1490</v>
      </c>
      <c r="J683" t="str">
        <f t="shared" si="76"/>
        <v>080505</v>
      </c>
      <c r="K683" t="s">
        <v>22</v>
      </c>
      <c r="L683" t="s">
        <v>23</v>
      </c>
      <c r="M683" t="str">
        <f t="shared" si="77"/>
        <v>1</v>
      </c>
      <c r="O683" t="str">
        <f>CONCATENATE("3 ","")</f>
        <v>3 </v>
      </c>
      <c r="P683">
        <v>25.85</v>
      </c>
      <c r="Q683" t="s">
        <v>24</v>
      </c>
    </row>
    <row r="684" spans="1:17" ht="15">
      <c r="A684" t="s">
        <v>17</v>
      </c>
      <c r="B684" s="1">
        <v>41831</v>
      </c>
      <c r="C684" t="s">
        <v>92</v>
      </c>
      <c r="D684" t="str">
        <f>CONCATENATE("0040025576","")</f>
        <v>0040025576</v>
      </c>
      <c r="E684" t="str">
        <f>CONCATENATE("0500542000050       ","")</f>
        <v>0500542000050       </v>
      </c>
      <c r="F684" t="str">
        <f>CONCATENATE("983072101002","")</f>
        <v>983072101002</v>
      </c>
      <c r="G684" t="s">
        <v>1493</v>
      </c>
      <c r="H684" t="s">
        <v>1494</v>
      </c>
      <c r="I684" t="s">
        <v>1495</v>
      </c>
      <c r="J684" t="str">
        <f t="shared" si="76"/>
        <v>080505</v>
      </c>
      <c r="K684" t="s">
        <v>22</v>
      </c>
      <c r="L684" t="s">
        <v>23</v>
      </c>
      <c r="M684" t="str">
        <f t="shared" si="77"/>
        <v>1</v>
      </c>
      <c r="O684" t="str">
        <f>CONCATENATE("1 ","")</f>
        <v>1 </v>
      </c>
      <c r="P684">
        <v>12.85</v>
      </c>
      <c r="Q684" t="s">
        <v>24</v>
      </c>
    </row>
    <row r="685" spans="1:17" ht="15">
      <c r="A685" t="s">
        <v>17</v>
      </c>
      <c r="B685" s="1">
        <v>41831</v>
      </c>
      <c r="C685" t="s">
        <v>92</v>
      </c>
      <c r="D685" t="str">
        <f>CONCATENATE("0040025575","")</f>
        <v>0040025575</v>
      </c>
      <c r="E685" t="str">
        <f>CONCATENATE("0500542000060       ","")</f>
        <v>0500542000060       </v>
      </c>
      <c r="F685" t="str">
        <f>CONCATENATE("983072100927","")</f>
        <v>983072100927</v>
      </c>
      <c r="G685" t="s">
        <v>1493</v>
      </c>
      <c r="H685" t="s">
        <v>1496</v>
      </c>
      <c r="I685" t="s">
        <v>1495</v>
      </c>
      <c r="J685" t="str">
        <f t="shared" si="76"/>
        <v>080505</v>
      </c>
      <c r="K685" t="s">
        <v>22</v>
      </c>
      <c r="L685" t="s">
        <v>23</v>
      </c>
      <c r="M685" t="str">
        <f t="shared" si="77"/>
        <v>1</v>
      </c>
      <c r="O685" t="str">
        <f>CONCATENATE("1 ","")</f>
        <v>1 </v>
      </c>
      <c r="P685">
        <v>14.2</v>
      </c>
      <c r="Q685" t="s">
        <v>24</v>
      </c>
    </row>
    <row r="686" spans="1:17" ht="15">
      <c r="A686" t="s">
        <v>17</v>
      </c>
      <c r="B686" s="1">
        <v>41831</v>
      </c>
      <c r="C686" t="s">
        <v>92</v>
      </c>
      <c r="D686" t="str">
        <f>CONCATENATE("0040025571","")</f>
        <v>0040025571</v>
      </c>
      <c r="E686" t="str">
        <f>CONCATENATE("0500542000070       ","")</f>
        <v>0500542000070       </v>
      </c>
      <c r="F686" t="str">
        <f>CONCATENATE("983072100927","")</f>
        <v>983072100927</v>
      </c>
      <c r="G686" t="s">
        <v>1493</v>
      </c>
      <c r="H686" t="s">
        <v>1497</v>
      </c>
      <c r="I686" t="s">
        <v>1495</v>
      </c>
      <c r="J686" t="str">
        <f t="shared" si="76"/>
        <v>080505</v>
      </c>
      <c r="K686" t="s">
        <v>22</v>
      </c>
      <c r="L686" t="s">
        <v>23</v>
      </c>
      <c r="M686" t="str">
        <f t="shared" si="77"/>
        <v>1</v>
      </c>
      <c r="O686" t="str">
        <f>CONCATENATE("1 ","")</f>
        <v>1 </v>
      </c>
      <c r="P686">
        <v>12.8</v>
      </c>
      <c r="Q686" t="s">
        <v>24</v>
      </c>
    </row>
    <row r="687" spans="1:17" ht="15">
      <c r="A687" t="s">
        <v>17</v>
      </c>
      <c r="B687" s="1">
        <v>41831</v>
      </c>
      <c r="C687" t="s">
        <v>92</v>
      </c>
      <c r="D687" t="str">
        <f>CONCATENATE("0040025573","")</f>
        <v>0040025573</v>
      </c>
      <c r="E687" t="str">
        <f>CONCATENATE("0500542000100       ","")</f>
        <v>0500542000100       </v>
      </c>
      <c r="F687" t="str">
        <f>CONCATENATE("983072100926","")</f>
        <v>983072100926</v>
      </c>
      <c r="G687" t="s">
        <v>1493</v>
      </c>
      <c r="H687" t="s">
        <v>1498</v>
      </c>
      <c r="I687" t="s">
        <v>1495</v>
      </c>
      <c r="J687" t="str">
        <f t="shared" si="76"/>
        <v>080505</v>
      </c>
      <c r="K687" t="s">
        <v>22</v>
      </c>
      <c r="L687" t="s">
        <v>23</v>
      </c>
      <c r="M687" t="str">
        <f t="shared" si="77"/>
        <v>1</v>
      </c>
      <c r="O687" t="str">
        <f>CONCATENATE("2 ","")</f>
        <v>2 </v>
      </c>
      <c r="P687">
        <v>19.3</v>
      </c>
      <c r="Q687" t="s">
        <v>24</v>
      </c>
    </row>
    <row r="688" spans="1:17" ht="15">
      <c r="A688" t="s">
        <v>17</v>
      </c>
      <c r="B688" s="1">
        <v>41831</v>
      </c>
      <c r="C688" t="s">
        <v>92</v>
      </c>
      <c r="D688" t="str">
        <f>CONCATENATE("0040025366","")</f>
        <v>0040025366</v>
      </c>
      <c r="E688" t="str">
        <f>CONCATENATE("0500543000030       ","")</f>
        <v>0500543000030       </v>
      </c>
      <c r="F688" t="str">
        <f>CONCATENATE("983072400929","")</f>
        <v>983072400929</v>
      </c>
      <c r="G688" t="s">
        <v>1499</v>
      </c>
      <c r="H688" t="s">
        <v>1500</v>
      </c>
      <c r="I688" t="s">
        <v>1501</v>
      </c>
      <c r="J688" t="str">
        <f t="shared" si="76"/>
        <v>080505</v>
      </c>
      <c r="K688" t="s">
        <v>22</v>
      </c>
      <c r="L688" t="s">
        <v>23</v>
      </c>
      <c r="M688" t="str">
        <f t="shared" si="77"/>
        <v>1</v>
      </c>
      <c r="O688" t="str">
        <f>CONCATENATE("2 ","")</f>
        <v>2 </v>
      </c>
      <c r="P688">
        <v>19.3</v>
      </c>
      <c r="Q688" t="s">
        <v>24</v>
      </c>
    </row>
    <row r="689" spans="1:17" ht="15">
      <c r="A689" t="s">
        <v>17</v>
      </c>
      <c r="B689" s="1">
        <v>41831</v>
      </c>
      <c r="C689" t="s">
        <v>92</v>
      </c>
      <c r="D689" t="str">
        <f>CONCATENATE("0040025369","")</f>
        <v>0040025369</v>
      </c>
      <c r="E689" t="str">
        <f>CONCATENATE("0500543000050       ","")</f>
        <v>0500543000050       </v>
      </c>
      <c r="F689" t="str">
        <f>CONCATENATE("983072100998","")</f>
        <v>983072100998</v>
      </c>
      <c r="G689" t="s">
        <v>1499</v>
      </c>
      <c r="H689" t="s">
        <v>1502</v>
      </c>
      <c r="I689" t="s">
        <v>1501</v>
      </c>
      <c r="J689" t="str">
        <f t="shared" si="76"/>
        <v>080505</v>
      </c>
      <c r="K689" t="s">
        <v>22</v>
      </c>
      <c r="L689" t="s">
        <v>23</v>
      </c>
      <c r="M689" t="str">
        <f t="shared" si="77"/>
        <v>1</v>
      </c>
      <c r="O689" t="str">
        <f>CONCATENATE("2 ","")</f>
        <v>2 </v>
      </c>
      <c r="P689">
        <v>23.9</v>
      </c>
      <c r="Q689" t="s">
        <v>24</v>
      </c>
    </row>
    <row r="690" spans="1:17" ht="15">
      <c r="A690" t="s">
        <v>17</v>
      </c>
      <c r="B690" s="1">
        <v>41831</v>
      </c>
      <c r="C690" t="s">
        <v>92</v>
      </c>
      <c r="D690" t="str">
        <f>CONCATENATE("0040025371","")</f>
        <v>0040025371</v>
      </c>
      <c r="E690" t="str">
        <f>CONCATENATE("0500543000090       ","")</f>
        <v>0500543000090       </v>
      </c>
      <c r="F690" t="str">
        <f>CONCATENATE("983072100929","")</f>
        <v>983072100929</v>
      </c>
      <c r="G690" t="s">
        <v>1499</v>
      </c>
      <c r="H690" t="s">
        <v>1503</v>
      </c>
      <c r="I690" t="s">
        <v>1501</v>
      </c>
      <c r="J690" t="str">
        <f t="shared" si="76"/>
        <v>080505</v>
      </c>
      <c r="K690" t="s">
        <v>22</v>
      </c>
      <c r="L690" t="s">
        <v>23</v>
      </c>
      <c r="M690" t="str">
        <f t="shared" si="77"/>
        <v>1</v>
      </c>
      <c r="O690" t="str">
        <f>CONCATENATE("2 ","")</f>
        <v>2 </v>
      </c>
      <c r="P690">
        <v>30.55</v>
      </c>
      <c r="Q690" t="s">
        <v>24</v>
      </c>
    </row>
    <row r="691" spans="1:17" ht="15">
      <c r="A691" t="s">
        <v>17</v>
      </c>
      <c r="B691" s="1">
        <v>41831</v>
      </c>
      <c r="C691" t="s">
        <v>92</v>
      </c>
      <c r="D691" t="str">
        <f>CONCATENATE("0040025539","")</f>
        <v>0040025539</v>
      </c>
      <c r="E691" t="str">
        <f>CONCATENATE("0500550000020       ","")</f>
        <v>0500550000020       </v>
      </c>
      <c r="F691" t="str">
        <f>CONCATENATE("983072100930","")</f>
        <v>983072100930</v>
      </c>
      <c r="G691" t="s">
        <v>1504</v>
      </c>
      <c r="H691" t="s">
        <v>1505</v>
      </c>
      <c r="I691" t="s">
        <v>1506</v>
      </c>
      <c r="J691" t="str">
        <f t="shared" si="76"/>
        <v>080505</v>
      </c>
      <c r="K691" t="s">
        <v>22</v>
      </c>
      <c r="L691" t="s">
        <v>23</v>
      </c>
      <c r="M691" t="str">
        <f t="shared" si="77"/>
        <v>1</v>
      </c>
      <c r="O691" t="str">
        <f>CONCATENATE("1 ","")</f>
        <v>1 </v>
      </c>
      <c r="P691">
        <v>14.25</v>
      </c>
      <c r="Q691" t="s">
        <v>24</v>
      </c>
    </row>
    <row r="692" spans="1:17" ht="15">
      <c r="A692" t="s">
        <v>17</v>
      </c>
      <c r="B692" s="1">
        <v>41831</v>
      </c>
      <c r="C692" t="s">
        <v>92</v>
      </c>
      <c r="D692" t="str">
        <f>CONCATENATE("0040025547","")</f>
        <v>0040025547</v>
      </c>
      <c r="E692" t="str">
        <f>CONCATENATE("0500550000090       ","")</f>
        <v>0500550000090       </v>
      </c>
      <c r="F692" t="str">
        <f>CONCATENATE("983072100995","")</f>
        <v>983072100995</v>
      </c>
      <c r="G692" t="s">
        <v>1504</v>
      </c>
      <c r="H692" t="s">
        <v>1507</v>
      </c>
      <c r="I692" t="s">
        <v>1506</v>
      </c>
      <c r="J692" t="str">
        <f t="shared" si="76"/>
        <v>080505</v>
      </c>
      <c r="K692" t="s">
        <v>22</v>
      </c>
      <c r="L692" t="s">
        <v>23</v>
      </c>
      <c r="M692" t="str">
        <f t="shared" si="77"/>
        <v>1</v>
      </c>
      <c r="O692" t="str">
        <f>CONCATENATE("2 ","")</f>
        <v>2 </v>
      </c>
      <c r="P692">
        <v>21.75</v>
      </c>
      <c r="Q692" t="s">
        <v>24</v>
      </c>
    </row>
    <row r="693" spans="1:17" ht="15">
      <c r="A693" t="s">
        <v>17</v>
      </c>
      <c r="B693" s="1">
        <v>41831</v>
      </c>
      <c r="C693" t="s">
        <v>92</v>
      </c>
      <c r="D693" t="str">
        <f>CONCATENATE("0040025557","")</f>
        <v>0040025557</v>
      </c>
      <c r="E693" t="str">
        <f>CONCATENATE("0500551000020       ","")</f>
        <v>0500551000020       </v>
      </c>
      <c r="F693" t="str">
        <f>CONCATENATE("983072100927","")</f>
        <v>983072100927</v>
      </c>
      <c r="G693" t="s">
        <v>1488</v>
      </c>
      <c r="H693" t="s">
        <v>1508</v>
      </c>
      <c r="I693" t="s">
        <v>1509</v>
      </c>
      <c r="J693" t="str">
        <f t="shared" si="76"/>
        <v>080505</v>
      </c>
      <c r="K693" t="s">
        <v>22</v>
      </c>
      <c r="L693" t="s">
        <v>23</v>
      </c>
      <c r="M693" t="str">
        <f t="shared" si="77"/>
        <v>1</v>
      </c>
      <c r="O693" t="str">
        <f>CONCATENATE("1 ","")</f>
        <v>1 </v>
      </c>
      <c r="P693">
        <v>14.6</v>
      </c>
      <c r="Q693" t="s">
        <v>24</v>
      </c>
    </row>
    <row r="694" spans="1:17" ht="15">
      <c r="A694" t="s">
        <v>17</v>
      </c>
      <c r="B694" s="1">
        <v>41831</v>
      </c>
      <c r="C694" t="s">
        <v>43</v>
      </c>
      <c r="D694" t="str">
        <f>CONCATENATE("0040024402","")</f>
        <v>0040024402</v>
      </c>
      <c r="E694" t="str">
        <f>CONCATENATE("0500730000030       ","")</f>
        <v>0500730000030       </v>
      </c>
      <c r="F694" t="str">
        <f>CONCATENATE("983072100991","")</f>
        <v>983072100991</v>
      </c>
      <c r="G694" t="s">
        <v>1511</v>
      </c>
      <c r="H694" t="s">
        <v>1512</v>
      </c>
      <c r="I694" t="s">
        <v>1513</v>
      </c>
      <c r="J694" t="str">
        <f aca="true" t="shared" si="78" ref="J694:J708">CONCATENATE("080502","")</f>
        <v>080502</v>
      </c>
      <c r="K694" t="s">
        <v>22</v>
      </c>
      <c r="L694" t="s">
        <v>23</v>
      </c>
      <c r="M694" t="str">
        <f aca="true" t="shared" si="79" ref="M694:M709">CONCATENATE("1","")</f>
        <v>1</v>
      </c>
      <c r="O694" t="str">
        <f>CONCATENATE("1 ","")</f>
        <v>1 </v>
      </c>
      <c r="P694">
        <v>14</v>
      </c>
      <c r="Q694" t="s">
        <v>24</v>
      </c>
    </row>
    <row r="695" spans="1:17" ht="15">
      <c r="A695" t="s">
        <v>17</v>
      </c>
      <c r="B695" s="1">
        <v>41831</v>
      </c>
      <c r="C695" t="s">
        <v>43</v>
      </c>
      <c r="D695" t="str">
        <f>CONCATENATE("0040024405","")</f>
        <v>0040024405</v>
      </c>
      <c r="E695" t="str">
        <f>CONCATENATE("0500730000060       ","")</f>
        <v>0500730000060       </v>
      </c>
      <c r="F695" t="str">
        <f>CONCATENATE("983072100992","")</f>
        <v>983072100992</v>
      </c>
      <c r="G695" t="s">
        <v>1511</v>
      </c>
      <c r="H695" t="s">
        <v>1514</v>
      </c>
      <c r="I695" t="s">
        <v>1513</v>
      </c>
      <c r="J695" t="str">
        <f t="shared" si="78"/>
        <v>080502</v>
      </c>
      <c r="K695" t="s">
        <v>22</v>
      </c>
      <c r="L695" t="s">
        <v>23</v>
      </c>
      <c r="M695" t="str">
        <f t="shared" si="79"/>
        <v>1</v>
      </c>
      <c r="O695" t="str">
        <f>CONCATENATE("7 ","")</f>
        <v>7 </v>
      </c>
      <c r="P695">
        <v>55.4</v>
      </c>
      <c r="Q695" t="s">
        <v>24</v>
      </c>
    </row>
    <row r="696" spans="1:17" ht="15">
      <c r="A696" t="s">
        <v>17</v>
      </c>
      <c r="B696" s="1">
        <v>41831</v>
      </c>
      <c r="C696" t="s">
        <v>43</v>
      </c>
      <c r="D696" t="str">
        <f>CONCATENATE("0040024415","")</f>
        <v>0040024415</v>
      </c>
      <c r="E696" t="str">
        <f>CONCATENATE("0500731000030       ","")</f>
        <v>0500731000030       </v>
      </c>
      <c r="F696" t="str">
        <f>CONCATENATE("983072100998","")</f>
        <v>983072100998</v>
      </c>
      <c r="G696" t="s">
        <v>1515</v>
      </c>
      <c r="H696" t="s">
        <v>1516</v>
      </c>
      <c r="I696" t="s">
        <v>1517</v>
      </c>
      <c r="J696" t="str">
        <f t="shared" si="78"/>
        <v>080502</v>
      </c>
      <c r="K696" t="s">
        <v>22</v>
      </c>
      <c r="L696" t="s">
        <v>23</v>
      </c>
      <c r="M696" t="str">
        <f t="shared" si="79"/>
        <v>1</v>
      </c>
      <c r="O696" t="str">
        <f>CONCATENATE("1 ","")</f>
        <v>1 </v>
      </c>
      <c r="P696">
        <v>12.85</v>
      </c>
      <c r="Q696" t="s">
        <v>24</v>
      </c>
    </row>
    <row r="697" spans="1:17" ht="15">
      <c r="A697" t="s">
        <v>17</v>
      </c>
      <c r="B697" s="1">
        <v>41831</v>
      </c>
      <c r="C697" t="s">
        <v>43</v>
      </c>
      <c r="D697" t="str">
        <f>CONCATENATE("0040024414","")</f>
        <v>0040024414</v>
      </c>
      <c r="E697" t="str">
        <f>CONCATENATE("0500731000040       ","")</f>
        <v>0500731000040       </v>
      </c>
      <c r="F697" t="str">
        <f>CONCATENATE("983072100999","")</f>
        <v>983072100999</v>
      </c>
      <c r="G697" t="s">
        <v>1515</v>
      </c>
      <c r="H697" t="s">
        <v>1518</v>
      </c>
      <c r="I697" t="s">
        <v>1517</v>
      </c>
      <c r="J697" t="str">
        <f t="shared" si="78"/>
        <v>080502</v>
      </c>
      <c r="K697" t="s">
        <v>22</v>
      </c>
      <c r="L697" t="s">
        <v>23</v>
      </c>
      <c r="M697" t="str">
        <f t="shared" si="79"/>
        <v>1</v>
      </c>
      <c r="O697" t="str">
        <f>CONCATENATE("5 ","")</f>
        <v>5 </v>
      </c>
      <c r="P697">
        <v>39.25</v>
      </c>
      <c r="Q697" t="s">
        <v>24</v>
      </c>
    </row>
    <row r="698" spans="1:17" ht="15">
      <c r="A698" t="s">
        <v>17</v>
      </c>
      <c r="B698" s="1">
        <v>41831</v>
      </c>
      <c r="C698" t="s">
        <v>43</v>
      </c>
      <c r="D698" t="str">
        <f>CONCATENATE("0040024418","")</f>
        <v>0040024418</v>
      </c>
      <c r="E698" t="str">
        <f>CONCATENATE("0500731000070       ","")</f>
        <v>0500731000070       </v>
      </c>
      <c r="F698" t="str">
        <f>CONCATENATE("983072100999","")</f>
        <v>983072100999</v>
      </c>
      <c r="G698" t="s">
        <v>1515</v>
      </c>
      <c r="H698" t="s">
        <v>1519</v>
      </c>
      <c r="I698" t="s">
        <v>1517</v>
      </c>
      <c r="J698" t="str">
        <f t="shared" si="78"/>
        <v>080502</v>
      </c>
      <c r="K698" t="s">
        <v>22</v>
      </c>
      <c r="L698" t="s">
        <v>23</v>
      </c>
      <c r="M698" t="str">
        <f t="shared" si="79"/>
        <v>1</v>
      </c>
      <c r="O698" t="str">
        <f>CONCATENATE("1 ","")</f>
        <v>1 </v>
      </c>
      <c r="P698">
        <v>13.65</v>
      </c>
      <c r="Q698" t="s">
        <v>24</v>
      </c>
    </row>
    <row r="699" spans="1:17" ht="15">
      <c r="A699" t="s">
        <v>17</v>
      </c>
      <c r="B699" s="1">
        <v>41831</v>
      </c>
      <c r="C699" t="s">
        <v>43</v>
      </c>
      <c r="D699" t="str">
        <f>CONCATENATE("0040024421","")</f>
        <v>0040024421</v>
      </c>
      <c r="E699" t="str">
        <f>CONCATENATE("0500731000100       ","")</f>
        <v>0500731000100       </v>
      </c>
      <c r="F699" t="str">
        <f>CONCATENATE("983072100992","")</f>
        <v>983072100992</v>
      </c>
      <c r="G699" t="s">
        <v>1515</v>
      </c>
      <c r="H699" t="s">
        <v>1520</v>
      </c>
      <c r="I699" t="s">
        <v>1517</v>
      </c>
      <c r="J699" t="str">
        <f t="shared" si="78"/>
        <v>080502</v>
      </c>
      <c r="K699" t="s">
        <v>22</v>
      </c>
      <c r="L699" t="s">
        <v>23</v>
      </c>
      <c r="M699" t="str">
        <f t="shared" si="79"/>
        <v>1</v>
      </c>
      <c r="O699" t="str">
        <f>CONCATENATE("1 ","")</f>
        <v>1 </v>
      </c>
      <c r="P699">
        <v>13.9</v>
      </c>
      <c r="Q699" t="s">
        <v>24</v>
      </c>
    </row>
    <row r="700" spans="1:17" ht="15">
      <c r="A700" t="s">
        <v>17</v>
      </c>
      <c r="B700" s="1">
        <v>41831</v>
      </c>
      <c r="C700" t="s">
        <v>43</v>
      </c>
      <c r="D700" t="str">
        <f>CONCATENATE("0040024437","")</f>
        <v>0040024437</v>
      </c>
      <c r="E700" t="str">
        <f>CONCATENATE("0500732000040       ","")</f>
        <v>0500732000040       </v>
      </c>
      <c r="F700" t="str">
        <f>CONCATENATE("983072100996","")</f>
        <v>983072100996</v>
      </c>
      <c r="G700" t="s">
        <v>1521</v>
      </c>
      <c r="H700" t="s">
        <v>1522</v>
      </c>
      <c r="I700" t="s">
        <v>1523</v>
      </c>
      <c r="J700" t="str">
        <f t="shared" si="78"/>
        <v>080502</v>
      </c>
      <c r="K700" t="s">
        <v>22</v>
      </c>
      <c r="L700" t="s">
        <v>23</v>
      </c>
      <c r="M700" t="str">
        <f t="shared" si="79"/>
        <v>1</v>
      </c>
      <c r="O700" t="str">
        <f>CONCATENATE("1 ","")</f>
        <v>1 </v>
      </c>
      <c r="P700">
        <v>15</v>
      </c>
      <c r="Q700" t="s">
        <v>24</v>
      </c>
    </row>
    <row r="701" spans="1:17" ht="15">
      <c r="A701" t="s">
        <v>17</v>
      </c>
      <c r="B701" s="1">
        <v>41831</v>
      </c>
      <c r="C701" t="s">
        <v>43</v>
      </c>
      <c r="D701" t="str">
        <f>CONCATENATE("0040024440","")</f>
        <v>0040024440</v>
      </c>
      <c r="E701" t="str">
        <f>CONCATENATE("0500733000040       ","")</f>
        <v>0500733000040       </v>
      </c>
      <c r="F701" t="str">
        <f>CONCATENATE("983072100995","")</f>
        <v>983072100995</v>
      </c>
      <c r="G701" t="s">
        <v>1524</v>
      </c>
      <c r="H701" t="s">
        <v>1525</v>
      </c>
      <c r="I701" t="s">
        <v>1526</v>
      </c>
      <c r="J701" t="str">
        <f t="shared" si="78"/>
        <v>080502</v>
      </c>
      <c r="K701" t="s">
        <v>22</v>
      </c>
      <c r="L701" t="s">
        <v>23</v>
      </c>
      <c r="M701" t="str">
        <f t="shared" si="79"/>
        <v>1</v>
      </c>
      <c r="O701" t="str">
        <f>CONCATENATE("2 ","")</f>
        <v>2 </v>
      </c>
      <c r="P701">
        <v>23.95</v>
      </c>
      <c r="Q701" t="s">
        <v>24</v>
      </c>
    </row>
    <row r="702" spans="1:17" ht="15">
      <c r="A702" t="s">
        <v>17</v>
      </c>
      <c r="B702" s="1">
        <v>41831</v>
      </c>
      <c r="C702" t="s">
        <v>43</v>
      </c>
      <c r="D702" t="str">
        <f>CONCATENATE("0040024397","")</f>
        <v>0040024397</v>
      </c>
      <c r="E702" t="str">
        <f>CONCATENATE("0500734000013       ","")</f>
        <v>0500734000013       </v>
      </c>
      <c r="F702" t="str">
        <f>CONCATENATE("983072100932","")</f>
        <v>983072100932</v>
      </c>
      <c r="G702" t="s">
        <v>1527</v>
      </c>
      <c r="H702" t="s">
        <v>1528</v>
      </c>
      <c r="I702" t="s">
        <v>1529</v>
      </c>
      <c r="J702" t="str">
        <f t="shared" si="78"/>
        <v>080502</v>
      </c>
      <c r="K702" t="s">
        <v>22</v>
      </c>
      <c r="L702" t="s">
        <v>23</v>
      </c>
      <c r="M702" t="str">
        <f t="shared" si="79"/>
        <v>1</v>
      </c>
      <c r="O702" t="str">
        <f>CONCATENATE("1 ","")</f>
        <v>1 </v>
      </c>
      <c r="P702">
        <v>14.6</v>
      </c>
      <c r="Q702" t="s">
        <v>24</v>
      </c>
    </row>
    <row r="703" spans="1:17" ht="15">
      <c r="A703" t="s">
        <v>17</v>
      </c>
      <c r="B703" s="1">
        <v>41831</v>
      </c>
      <c r="C703" t="s">
        <v>43</v>
      </c>
      <c r="D703" t="str">
        <f>CONCATENATE("0040024386","")</f>
        <v>0040024386</v>
      </c>
      <c r="E703" t="str">
        <f>CONCATENATE("0500734000020       ","")</f>
        <v>0500734000020       </v>
      </c>
      <c r="F703" t="str">
        <f>CONCATENATE("983072100920","")</f>
        <v>983072100920</v>
      </c>
      <c r="G703" t="s">
        <v>1527</v>
      </c>
      <c r="H703" t="s">
        <v>1530</v>
      </c>
      <c r="I703" t="s">
        <v>1529</v>
      </c>
      <c r="J703" t="str">
        <f t="shared" si="78"/>
        <v>080502</v>
      </c>
      <c r="K703" t="s">
        <v>22</v>
      </c>
      <c r="L703" t="s">
        <v>23</v>
      </c>
      <c r="M703" t="str">
        <f t="shared" si="79"/>
        <v>1</v>
      </c>
      <c r="O703" t="str">
        <f>CONCATENATE("1 ","")</f>
        <v>1 </v>
      </c>
      <c r="P703">
        <v>14.25</v>
      </c>
      <c r="Q703" t="s">
        <v>24</v>
      </c>
    </row>
    <row r="704" spans="1:17" ht="15">
      <c r="A704" t="s">
        <v>17</v>
      </c>
      <c r="B704" s="1">
        <v>41831</v>
      </c>
      <c r="C704" t="s">
        <v>43</v>
      </c>
      <c r="D704" t="str">
        <f>CONCATENATE("0040024708","")</f>
        <v>0040024708</v>
      </c>
      <c r="E704" t="str">
        <f>CONCATENATE("0500735000070       ","")</f>
        <v>0500735000070       </v>
      </c>
      <c r="F704" t="str">
        <f>CONCATENATE("983072100996","")</f>
        <v>983072100996</v>
      </c>
      <c r="G704" t="s">
        <v>1531</v>
      </c>
      <c r="H704" t="s">
        <v>1532</v>
      </c>
      <c r="I704" t="s">
        <v>1533</v>
      </c>
      <c r="J704" t="str">
        <f t="shared" si="78"/>
        <v>080502</v>
      </c>
      <c r="K704" t="s">
        <v>22</v>
      </c>
      <c r="L704" t="s">
        <v>23</v>
      </c>
      <c r="M704" t="str">
        <f t="shared" si="79"/>
        <v>1</v>
      </c>
      <c r="O704" t="str">
        <f>CONCATENATE("1 ","")</f>
        <v>1 </v>
      </c>
      <c r="P704">
        <v>13.6</v>
      </c>
      <c r="Q704" t="s">
        <v>24</v>
      </c>
    </row>
    <row r="705" spans="1:17" ht="15">
      <c r="A705" t="s">
        <v>17</v>
      </c>
      <c r="B705" s="1">
        <v>41831</v>
      </c>
      <c r="C705" t="s">
        <v>43</v>
      </c>
      <c r="D705" t="str">
        <f>CONCATENATE("0040024713","")</f>
        <v>0040024713</v>
      </c>
      <c r="E705" t="str">
        <f>CONCATENATE("0500735000110       ","")</f>
        <v>0500735000110       </v>
      </c>
      <c r="F705" t="str">
        <f>CONCATENATE("983072100996","")</f>
        <v>983072100996</v>
      </c>
      <c r="G705" t="s">
        <v>1531</v>
      </c>
      <c r="H705" t="s">
        <v>1534</v>
      </c>
      <c r="I705" t="s">
        <v>1535</v>
      </c>
      <c r="J705" t="str">
        <f t="shared" si="78"/>
        <v>080502</v>
      </c>
      <c r="K705" t="s">
        <v>22</v>
      </c>
      <c r="L705" t="s">
        <v>23</v>
      </c>
      <c r="M705" t="str">
        <f t="shared" si="79"/>
        <v>1</v>
      </c>
      <c r="O705" t="str">
        <f>CONCATENATE("2 ","")</f>
        <v>2 </v>
      </c>
      <c r="P705">
        <v>23.95</v>
      </c>
      <c r="Q705" t="s">
        <v>24</v>
      </c>
    </row>
    <row r="706" spans="1:17" ht="15">
      <c r="A706" t="s">
        <v>17</v>
      </c>
      <c r="B706" s="1">
        <v>41831</v>
      </c>
      <c r="C706" t="s">
        <v>43</v>
      </c>
      <c r="D706" t="str">
        <f>CONCATENATE("0040024696","")</f>
        <v>0040024696</v>
      </c>
      <c r="E706" t="str">
        <f>CONCATENATE("0500736000070       ","")</f>
        <v>0500736000070       </v>
      </c>
      <c r="F706" t="str">
        <f>CONCATENATE("983072100999","")</f>
        <v>983072100999</v>
      </c>
      <c r="G706" t="s">
        <v>1536</v>
      </c>
      <c r="H706" t="s">
        <v>1537</v>
      </c>
      <c r="I706" t="s">
        <v>1538</v>
      </c>
      <c r="J706" t="str">
        <f t="shared" si="78"/>
        <v>080502</v>
      </c>
      <c r="K706" t="s">
        <v>22</v>
      </c>
      <c r="L706" t="s">
        <v>23</v>
      </c>
      <c r="M706" t="str">
        <f t="shared" si="79"/>
        <v>1</v>
      </c>
      <c r="O706" t="str">
        <f>CONCATENATE("2 ","")</f>
        <v>2 </v>
      </c>
      <c r="P706">
        <v>24</v>
      </c>
      <c r="Q706" t="s">
        <v>24</v>
      </c>
    </row>
    <row r="707" spans="1:17" ht="15">
      <c r="A707" t="s">
        <v>17</v>
      </c>
      <c r="B707" s="1">
        <v>41831</v>
      </c>
      <c r="C707" t="s">
        <v>43</v>
      </c>
      <c r="D707" t="str">
        <f>CONCATENATE("0040024686","")</f>
        <v>0040024686</v>
      </c>
      <c r="E707" t="str">
        <f>CONCATENATE("0500736000130       ","")</f>
        <v>0500736000130       </v>
      </c>
      <c r="F707" t="str">
        <f>CONCATENATE("983072100932","")</f>
        <v>983072100932</v>
      </c>
      <c r="G707" t="s">
        <v>1536</v>
      </c>
      <c r="H707" t="s">
        <v>1539</v>
      </c>
      <c r="I707" t="s">
        <v>1538</v>
      </c>
      <c r="J707" t="str">
        <f t="shared" si="78"/>
        <v>080502</v>
      </c>
      <c r="K707" t="s">
        <v>22</v>
      </c>
      <c r="L707" t="s">
        <v>23</v>
      </c>
      <c r="M707" t="str">
        <f t="shared" si="79"/>
        <v>1</v>
      </c>
      <c r="O707" t="str">
        <f>CONCATENATE("1 ","")</f>
        <v>1 </v>
      </c>
      <c r="P707">
        <v>16</v>
      </c>
      <c r="Q707" t="s">
        <v>24</v>
      </c>
    </row>
    <row r="708" spans="1:17" ht="15">
      <c r="A708" t="s">
        <v>17</v>
      </c>
      <c r="B708" s="1">
        <v>41831</v>
      </c>
      <c r="C708" t="s">
        <v>43</v>
      </c>
      <c r="D708" t="str">
        <f>CONCATENATE("0040035764","")</f>
        <v>0040035764</v>
      </c>
      <c r="E708" t="str">
        <f>CONCATENATE("0500737000051       ","")</f>
        <v>0500737000051       </v>
      </c>
      <c r="F708" t="str">
        <f>CONCATENATE("10099433","")</f>
        <v>10099433</v>
      </c>
      <c r="G708" t="s">
        <v>1540</v>
      </c>
      <c r="H708" t="s">
        <v>1541</v>
      </c>
      <c r="I708" t="s">
        <v>1510</v>
      </c>
      <c r="J708" t="str">
        <f t="shared" si="78"/>
        <v>080502</v>
      </c>
      <c r="K708" t="s">
        <v>22</v>
      </c>
      <c r="L708" t="s">
        <v>23</v>
      </c>
      <c r="M708" t="str">
        <f t="shared" si="79"/>
        <v>1</v>
      </c>
      <c r="O708" t="str">
        <f>CONCATENATE("1 ","")</f>
        <v>1 </v>
      </c>
      <c r="P708">
        <v>44.85</v>
      </c>
      <c r="Q708" t="s">
        <v>24</v>
      </c>
    </row>
    <row r="709" spans="1:17" ht="15">
      <c r="A709" t="s">
        <v>17</v>
      </c>
      <c r="B709" s="1">
        <v>41831</v>
      </c>
      <c r="C709" t="s">
        <v>1542</v>
      </c>
      <c r="D709" t="str">
        <f>CONCATENATE("0040035758","")</f>
        <v>0040035758</v>
      </c>
      <c r="E709" t="str">
        <f>CONCATENATE("0500737000055       ","")</f>
        <v>0500737000055       </v>
      </c>
      <c r="F709" t="str">
        <f>CONCATENATE("10092160","")</f>
        <v>10092160</v>
      </c>
      <c r="G709" t="s">
        <v>1540</v>
      </c>
      <c r="H709" t="s">
        <v>1543</v>
      </c>
      <c r="I709" t="s">
        <v>1510</v>
      </c>
      <c r="J709" t="str">
        <f>CONCATENATE("080501","")</f>
        <v>080501</v>
      </c>
      <c r="K709" t="s">
        <v>22</v>
      </c>
      <c r="L709" t="s">
        <v>23</v>
      </c>
      <c r="M709" t="str">
        <f t="shared" si="79"/>
        <v>1</v>
      </c>
      <c r="O709" t="str">
        <f>CONCATENATE("1 ","")</f>
        <v>1 </v>
      </c>
      <c r="P709">
        <v>23.3</v>
      </c>
      <c r="Q709" t="s">
        <v>24</v>
      </c>
    </row>
    <row r="710" spans="1:17" ht="15">
      <c r="A710" t="s">
        <v>17</v>
      </c>
      <c r="B710" s="1">
        <v>41831</v>
      </c>
      <c r="C710" t="s">
        <v>43</v>
      </c>
      <c r="D710" t="str">
        <f>CONCATENATE("0040024881","")</f>
        <v>0040024881</v>
      </c>
      <c r="E710" t="str">
        <f>CONCATENATE("0500740000030       ","")</f>
        <v>0500740000030       </v>
      </c>
      <c r="F710" t="str">
        <f>CONCATENATE("983072101003","")</f>
        <v>983072101003</v>
      </c>
      <c r="G710" t="s">
        <v>1544</v>
      </c>
      <c r="H710" t="s">
        <v>1545</v>
      </c>
      <c r="I710" t="s">
        <v>1546</v>
      </c>
      <c r="J710" t="str">
        <f aca="true" t="shared" si="80" ref="J710:J741">CONCATENATE("080502","")</f>
        <v>080502</v>
      </c>
      <c r="K710" t="s">
        <v>22</v>
      </c>
      <c r="L710" t="s">
        <v>23</v>
      </c>
      <c r="M710" t="str">
        <f aca="true" t="shared" si="81" ref="M710:M773">CONCATENATE("1","")</f>
        <v>1</v>
      </c>
      <c r="O710" t="str">
        <f>CONCATENATE("3 ","")</f>
        <v>3 </v>
      </c>
      <c r="P710">
        <v>28.6</v>
      </c>
      <c r="Q710" t="s">
        <v>24</v>
      </c>
    </row>
    <row r="711" spans="1:17" ht="15">
      <c r="A711" t="s">
        <v>17</v>
      </c>
      <c r="B711" s="1">
        <v>41831</v>
      </c>
      <c r="C711" t="s">
        <v>43</v>
      </c>
      <c r="D711" t="str">
        <f>CONCATENATE("0040024886","")</f>
        <v>0040024886</v>
      </c>
      <c r="E711" t="str">
        <f>CONCATENATE("0500740000050       ","")</f>
        <v>0500740000050       </v>
      </c>
      <c r="F711" t="str">
        <f>CONCATENATE("983072101003","")</f>
        <v>983072101003</v>
      </c>
      <c r="G711" t="s">
        <v>1544</v>
      </c>
      <c r="H711" t="s">
        <v>1547</v>
      </c>
      <c r="I711" t="s">
        <v>1546</v>
      </c>
      <c r="J711" t="str">
        <f t="shared" si="80"/>
        <v>080502</v>
      </c>
      <c r="K711" t="s">
        <v>22</v>
      </c>
      <c r="L711" t="s">
        <v>23</v>
      </c>
      <c r="M711" t="str">
        <f t="shared" si="81"/>
        <v>1</v>
      </c>
      <c r="O711" t="str">
        <f>CONCATENATE("1 ","")</f>
        <v>1 </v>
      </c>
      <c r="P711">
        <v>290.05</v>
      </c>
      <c r="Q711" t="s">
        <v>24</v>
      </c>
    </row>
    <row r="712" spans="1:17" ht="15">
      <c r="A712" t="s">
        <v>17</v>
      </c>
      <c r="B712" s="1">
        <v>41831</v>
      </c>
      <c r="C712" t="s">
        <v>43</v>
      </c>
      <c r="D712" t="str">
        <f>CONCATENATE("0040024884","")</f>
        <v>0040024884</v>
      </c>
      <c r="E712" t="str">
        <f>CONCATENATE("0500740000060       ","")</f>
        <v>0500740000060       </v>
      </c>
      <c r="F712" t="str">
        <f>CONCATENATE("983072101000","")</f>
        <v>983072101000</v>
      </c>
      <c r="G712" t="s">
        <v>1544</v>
      </c>
      <c r="H712" t="s">
        <v>1548</v>
      </c>
      <c r="I712" t="s">
        <v>1546</v>
      </c>
      <c r="J712" t="str">
        <f t="shared" si="80"/>
        <v>080502</v>
      </c>
      <c r="K712" t="s">
        <v>22</v>
      </c>
      <c r="L712" t="s">
        <v>23</v>
      </c>
      <c r="M712" t="str">
        <f t="shared" si="81"/>
        <v>1</v>
      </c>
      <c r="O712" t="str">
        <f>CONCATENATE("1 ","")</f>
        <v>1 </v>
      </c>
      <c r="P712">
        <v>76.3</v>
      </c>
      <c r="Q712" t="s">
        <v>24</v>
      </c>
    </row>
    <row r="713" spans="1:17" ht="15">
      <c r="A713" t="s">
        <v>17</v>
      </c>
      <c r="B713" s="1">
        <v>41831</v>
      </c>
      <c r="C713" t="s">
        <v>43</v>
      </c>
      <c r="D713" t="str">
        <f>CONCATENATE("0040024887","")</f>
        <v>0040024887</v>
      </c>
      <c r="E713" t="str">
        <f>CONCATENATE("0500740000080       ","")</f>
        <v>0500740000080       </v>
      </c>
      <c r="F713" t="str">
        <f>CONCATENATE("983072101000","")</f>
        <v>983072101000</v>
      </c>
      <c r="G713" t="s">
        <v>1544</v>
      </c>
      <c r="H713" t="s">
        <v>1549</v>
      </c>
      <c r="I713" t="s">
        <v>1546</v>
      </c>
      <c r="J713" t="str">
        <f t="shared" si="80"/>
        <v>080502</v>
      </c>
      <c r="K713" t="s">
        <v>22</v>
      </c>
      <c r="L713" t="s">
        <v>23</v>
      </c>
      <c r="M713" t="str">
        <f t="shared" si="81"/>
        <v>1</v>
      </c>
      <c r="O713" t="str">
        <f>CONCATENATE("4 ","")</f>
        <v>4 </v>
      </c>
      <c r="P713">
        <v>73.1</v>
      </c>
      <c r="Q713" t="s">
        <v>24</v>
      </c>
    </row>
    <row r="714" spans="1:17" ht="15">
      <c r="A714" t="s">
        <v>17</v>
      </c>
      <c r="B714" s="1">
        <v>41831</v>
      </c>
      <c r="C714" t="s">
        <v>43</v>
      </c>
      <c r="D714" t="str">
        <f>CONCATENATE("0040024898","")</f>
        <v>0040024898</v>
      </c>
      <c r="E714" t="str">
        <f>CONCATENATE("0500741000010       ","")</f>
        <v>0500741000010       </v>
      </c>
      <c r="F714" t="str">
        <f>CONCATENATE("983072101000","")</f>
        <v>983072101000</v>
      </c>
      <c r="G714" t="s">
        <v>1550</v>
      </c>
      <c r="H714" t="s">
        <v>1551</v>
      </c>
      <c r="I714" t="s">
        <v>1552</v>
      </c>
      <c r="J714" t="str">
        <f t="shared" si="80"/>
        <v>080502</v>
      </c>
      <c r="K714" t="s">
        <v>22</v>
      </c>
      <c r="L714" t="s">
        <v>23</v>
      </c>
      <c r="M714" t="str">
        <f t="shared" si="81"/>
        <v>1</v>
      </c>
      <c r="O714" t="str">
        <f>CONCATENATE("5 ","")</f>
        <v>5 </v>
      </c>
      <c r="P714">
        <v>81.55</v>
      </c>
      <c r="Q714" t="s">
        <v>24</v>
      </c>
    </row>
    <row r="715" spans="1:17" ht="15">
      <c r="A715" t="s">
        <v>17</v>
      </c>
      <c r="B715" s="1">
        <v>41831</v>
      </c>
      <c r="C715" t="s">
        <v>43</v>
      </c>
      <c r="D715" t="str">
        <f>CONCATENATE("0040024914","")</f>
        <v>0040024914</v>
      </c>
      <c r="E715" t="str">
        <f>CONCATENATE("0500742000060       ","")</f>
        <v>0500742000060       </v>
      </c>
      <c r="F715" t="str">
        <f>CONCATENATE("983072101004","")</f>
        <v>983072101004</v>
      </c>
      <c r="G715" t="s">
        <v>1553</v>
      </c>
      <c r="H715" t="s">
        <v>1554</v>
      </c>
      <c r="I715" t="s">
        <v>1555</v>
      </c>
      <c r="J715" t="str">
        <f t="shared" si="80"/>
        <v>080502</v>
      </c>
      <c r="K715" t="s">
        <v>22</v>
      </c>
      <c r="L715" t="s">
        <v>23</v>
      </c>
      <c r="M715" t="str">
        <f t="shared" si="81"/>
        <v>1</v>
      </c>
      <c r="O715" t="str">
        <f>CONCATENATE("2 ","")</f>
        <v>2 </v>
      </c>
      <c r="P715">
        <v>133.2</v>
      </c>
      <c r="Q715" t="s">
        <v>24</v>
      </c>
    </row>
    <row r="716" spans="1:17" ht="15">
      <c r="A716" t="s">
        <v>17</v>
      </c>
      <c r="B716" s="1">
        <v>41831</v>
      </c>
      <c r="C716" t="s">
        <v>43</v>
      </c>
      <c r="D716" t="str">
        <f>CONCATENATE("0040024913","")</f>
        <v>0040024913</v>
      </c>
      <c r="E716" t="str">
        <f>CONCATENATE("0500742000080       ","")</f>
        <v>0500742000080       </v>
      </c>
      <c r="F716" t="str">
        <f>CONCATENATE("983072100925","")</f>
        <v>983072100925</v>
      </c>
      <c r="G716" t="s">
        <v>1553</v>
      </c>
      <c r="H716" t="s">
        <v>1556</v>
      </c>
      <c r="I716" t="s">
        <v>1555</v>
      </c>
      <c r="J716" t="str">
        <f t="shared" si="80"/>
        <v>080502</v>
      </c>
      <c r="K716" t="s">
        <v>22</v>
      </c>
      <c r="L716" t="s">
        <v>23</v>
      </c>
      <c r="M716" t="str">
        <f t="shared" si="81"/>
        <v>1</v>
      </c>
      <c r="O716" t="str">
        <f>CONCATENATE("1 ","")</f>
        <v>1 </v>
      </c>
      <c r="P716">
        <v>23.2</v>
      </c>
      <c r="Q716" t="s">
        <v>24</v>
      </c>
    </row>
    <row r="717" spans="1:17" ht="15">
      <c r="A717" t="s">
        <v>17</v>
      </c>
      <c r="B717" s="1">
        <v>41831</v>
      </c>
      <c r="C717" t="s">
        <v>43</v>
      </c>
      <c r="D717" t="str">
        <f>CONCATENATE("0040024904","")</f>
        <v>0040024904</v>
      </c>
      <c r="E717" t="str">
        <f>CONCATENATE("0500742000090       ","")</f>
        <v>0500742000090       </v>
      </c>
      <c r="F717" t="str">
        <f>CONCATENATE("983072100998","")</f>
        <v>983072100998</v>
      </c>
      <c r="G717" t="s">
        <v>1553</v>
      </c>
      <c r="H717" t="s">
        <v>1557</v>
      </c>
      <c r="I717" t="s">
        <v>1555</v>
      </c>
      <c r="J717" t="str">
        <f t="shared" si="80"/>
        <v>080502</v>
      </c>
      <c r="K717" t="s">
        <v>22</v>
      </c>
      <c r="L717" t="s">
        <v>23</v>
      </c>
      <c r="M717" t="str">
        <f t="shared" si="81"/>
        <v>1</v>
      </c>
      <c r="O717" t="str">
        <f>CONCATENATE("3 ","")</f>
        <v>3 </v>
      </c>
      <c r="P717">
        <v>25.8</v>
      </c>
      <c r="Q717" t="s">
        <v>24</v>
      </c>
    </row>
    <row r="718" spans="1:17" ht="15">
      <c r="A718" t="s">
        <v>17</v>
      </c>
      <c r="B718" s="1">
        <v>41831</v>
      </c>
      <c r="C718" t="s">
        <v>43</v>
      </c>
      <c r="D718" t="str">
        <f>CONCATENATE("0040024918","")</f>
        <v>0040024918</v>
      </c>
      <c r="E718" t="str">
        <f>CONCATENATE("0500743000030       ","")</f>
        <v>0500743000030       </v>
      </c>
      <c r="F718" t="str">
        <f>CONCATENATE("983072100978","")</f>
        <v>983072100978</v>
      </c>
      <c r="G718" t="s">
        <v>1558</v>
      </c>
      <c r="H718" t="s">
        <v>1559</v>
      </c>
      <c r="I718" t="s">
        <v>1560</v>
      </c>
      <c r="J718" t="str">
        <f t="shared" si="80"/>
        <v>080502</v>
      </c>
      <c r="K718" t="s">
        <v>22</v>
      </c>
      <c r="L718" t="s">
        <v>23</v>
      </c>
      <c r="M718" t="str">
        <f t="shared" si="81"/>
        <v>1</v>
      </c>
      <c r="O718" t="str">
        <f>CONCATENATE("1 ","")</f>
        <v>1 </v>
      </c>
      <c r="P718">
        <v>15.65</v>
      </c>
      <c r="Q718" t="s">
        <v>24</v>
      </c>
    </row>
    <row r="719" spans="1:17" ht="15">
      <c r="A719" t="s">
        <v>17</v>
      </c>
      <c r="B719" s="1">
        <v>41831</v>
      </c>
      <c r="C719" t="s">
        <v>43</v>
      </c>
      <c r="D719" t="str">
        <f>CONCATENATE("0040024362","")</f>
        <v>0040024362</v>
      </c>
      <c r="E719" t="str">
        <f>CONCATENATE("0500750000010       ","")</f>
        <v>0500750000010       </v>
      </c>
      <c r="F719" t="str">
        <f>CONCATENATE("983072100999","")</f>
        <v>983072100999</v>
      </c>
      <c r="G719" t="s">
        <v>1561</v>
      </c>
      <c r="H719" t="s">
        <v>1562</v>
      </c>
      <c r="I719" t="s">
        <v>1563</v>
      </c>
      <c r="J719" t="str">
        <f t="shared" si="80"/>
        <v>080502</v>
      </c>
      <c r="K719" t="s">
        <v>22</v>
      </c>
      <c r="L719" t="s">
        <v>23</v>
      </c>
      <c r="M719" t="str">
        <f t="shared" si="81"/>
        <v>1</v>
      </c>
      <c r="O719" t="str">
        <f>CONCATENATE("1 ","")</f>
        <v>1 </v>
      </c>
      <c r="P719">
        <v>20.7</v>
      </c>
      <c r="Q719" t="s">
        <v>24</v>
      </c>
    </row>
    <row r="720" spans="1:17" ht="15">
      <c r="A720" t="s">
        <v>17</v>
      </c>
      <c r="B720" s="1">
        <v>41831</v>
      </c>
      <c r="C720" t="s">
        <v>43</v>
      </c>
      <c r="D720" t="str">
        <f>CONCATENATE("0040024367","")</f>
        <v>0040024367</v>
      </c>
      <c r="E720" t="str">
        <f>CONCATENATE("0500750000120       ","")</f>
        <v>0500750000120       </v>
      </c>
      <c r="F720" t="str">
        <f>CONCATENATE("983072101000","")</f>
        <v>983072101000</v>
      </c>
      <c r="G720" t="s">
        <v>1561</v>
      </c>
      <c r="H720" t="s">
        <v>1564</v>
      </c>
      <c r="I720" t="s">
        <v>1563</v>
      </c>
      <c r="J720" t="str">
        <f t="shared" si="80"/>
        <v>080502</v>
      </c>
      <c r="K720" t="s">
        <v>22</v>
      </c>
      <c r="L720" t="s">
        <v>23</v>
      </c>
      <c r="M720" t="str">
        <f t="shared" si="81"/>
        <v>1</v>
      </c>
      <c r="O720" t="str">
        <f>CONCATENATE("4 ","")</f>
        <v>4 </v>
      </c>
      <c r="P720">
        <v>34.05</v>
      </c>
      <c r="Q720" t="s">
        <v>24</v>
      </c>
    </row>
    <row r="721" spans="1:17" ht="15">
      <c r="A721" t="s">
        <v>17</v>
      </c>
      <c r="B721" s="1">
        <v>41831</v>
      </c>
      <c r="C721" t="s">
        <v>43</v>
      </c>
      <c r="D721" t="str">
        <f>CONCATENATE("0040024372","")</f>
        <v>0040024372</v>
      </c>
      <c r="E721" t="str">
        <f>CONCATENATE("0500750000170       ","")</f>
        <v>0500750000170       </v>
      </c>
      <c r="F721" t="str">
        <f>CONCATENATE("983072100992","")</f>
        <v>983072100992</v>
      </c>
      <c r="G721" t="s">
        <v>1561</v>
      </c>
      <c r="H721" t="s">
        <v>1565</v>
      </c>
      <c r="I721" t="s">
        <v>1563</v>
      </c>
      <c r="J721" t="str">
        <f t="shared" si="80"/>
        <v>080502</v>
      </c>
      <c r="K721" t="s">
        <v>22</v>
      </c>
      <c r="L721" t="s">
        <v>23</v>
      </c>
      <c r="M721" t="str">
        <f t="shared" si="81"/>
        <v>1</v>
      </c>
      <c r="O721" t="str">
        <f>CONCATENATE("1 ","")</f>
        <v>1 </v>
      </c>
      <c r="P721">
        <v>18.15</v>
      </c>
      <c r="Q721" t="s">
        <v>24</v>
      </c>
    </row>
    <row r="722" spans="1:17" ht="15">
      <c r="A722" t="s">
        <v>17</v>
      </c>
      <c r="B722" s="1">
        <v>41831</v>
      </c>
      <c r="C722" t="s">
        <v>43</v>
      </c>
      <c r="D722" t="str">
        <f>CONCATENATE("0040024373","")</f>
        <v>0040024373</v>
      </c>
      <c r="E722" t="str">
        <f>CONCATENATE("0500750000180       ","")</f>
        <v>0500750000180       </v>
      </c>
      <c r="F722" t="str">
        <f>CONCATENATE("983072100999","")</f>
        <v>983072100999</v>
      </c>
      <c r="G722" t="s">
        <v>1561</v>
      </c>
      <c r="H722" t="s">
        <v>1566</v>
      </c>
      <c r="I722" t="s">
        <v>1563</v>
      </c>
      <c r="J722" t="str">
        <f t="shared" si="80"/>
        <v>080502</v>
      </c>
      <c r="K722" t="s">
        <v>22</v>
      </c>
      <c r="L722" t="s">
        <v>23</v>
      </c>
      <c r="M722" t="str">
        <f t="shared" si="81"/>
        <v>1</v>
      </c>
      <c r="O722" t="str">
        <f>CONCATENATE("1 ","")</f>
        <v>1 </v>
      </c>
      <c r="P722">
        <v>15.3</v>
      </c>
      <c r="Q722" t="s">
        <v>24</v>
      </c>
    </row>
    <row r="723" spans="1:17" ht="15">
      <c r="A723" t="s">
        <v>17</v>
      </c>
      <c r="B723" s="1">
        <v>41831</v>
      </c>
      <c r="C723" t="s">
        <v>43</v>
      </c>
      <c r="D723" t="str">
        <f>CONCATENATE("0040024375","")</f>
        <v>0040024375</v>
      </c>
      <c r="E723" t="str">
        <f>CONCATENATE("0500751000020       ","")</f>
        <v>0500751000020       </v>
      </c>
      <c r="F723" t="str">
        <f>CONCATENATE("983072101000","")</f>
        <v>983072101000</v>
      </c>
      <c r="G723" t="s">
        <v>1567</v>
      </c>
      <c r="H723" t="s">
        <v>1568</v>
      </c>
      <c r="I723" t="s">
        <v>1569</v>
      </c>
      <c r="J723" t="str">
        <f t="shared" si="80"/>
        <v>080502</v>
      </c>
      <c r="K723" t="s">
        <v>22</v>
      </c>
      <c r="L723" t="s">
        <v>23</v>
      </c>
      <c r="M723" t="str">
        <f t="shared" si="81"/>
        <v>1</v>
      </c>
      <c r="O723" t="str">
        <f>CONCATENATE("1 ","")</f>
        <v>1 </v>
      </c>
      <c r="P723">
        <v>12.9</v>
      </c>
      <c r="Q723" t="s">
        <v>24</v>
      </c>
    </row>
    <row r="724" spans="1:17" ht="15">
      <c r="A724" t="s">
        <v>17</v>
      </c>
      <c r="B724" s="1">
        <v>41831</v>
      </c>
      <c r="C724" t="s">
        <v>43</v>
      </c>
      <c r="D724" t="str">
        <f>CONCATENATE("0040024379","")</f>
        <v>0040024379</v>
      </c>
      <c r="E724" t="str">
        <f>CONCATENATE("0500751000060       ","")</f>
        <v>0500751000060       </v>
      </c>
      <c r="F724" t="str">
        <f>CONCATENATE("983072100993","")</f>
        <v>983072100993</v>
      </c>
      <c r="G724" t="s">
        <v>1567</v>
      </c>
      <c r="H724" t="s">
        <v>1570</v>
      </c>
      <c r="I724" t="s">
        <v>1569</v>
      </c>
      <c r="J724" t="str">
        <f t="shared" si="80"/>
        <v>080502</v>
      </c>
      <c r="K724" t="s">
        <v>22</v>
      </c>
      <c r="L724" t="s">
        <v>23</v>
      </c>
      <c r="M724" t="str">
        <f t="shared" si="81"/>
        <v>1</v>
      </c>
      <c r="O724" t="str">
        <f>CONCATENATE("3 ","")</f>
        <v>3 </v>
      </c>
      <c r="P724">
        <v>25.8</v>
      </c>
      <c r="Q724" t="s">
        <v>24</v>
      </c>
    </row>
    <row r="725" spans="1:17" ht="15">
      <c r="A725" t="s">
        <v>17</v>
      </c>
      <c r="B725" s="1">
        <v>41831</v>
      </c>
      <c r="C725" t="s">
        <v>43</v>
      </c>
      <c r="D725" t="str">
        <f>CONCATENATE("0040024589","")</f>
        <v>0040024589</v>
      </c>
      <c r="E725" t="str">
        <f>CONCATENATE("0500752000020       ","")</f>
        <v>0500752000020       </v>
      </c>
      <c r="F725" t="str">
        <f>CONCATENATE("983072101015","")</f>
        <v>983072101015</v>
      </c>
      <c r="G725" t="s">
        <v>1571</v>
      </c>
      <c r="H725" t="s">
        <v>1572</v>
      </c>
      <c r="I725" t="s">
        <v>1573</v>
      </c>
      <c r="J725" t="str">
        <f t="shared" si="80"/>
        <v>080502</v>
      </c>
      <c r="K725" t="s">
        <v>22</v>
      </c>
      <c r="L725" t="s">
        <v>23</v>
      </c>
      <c r="M725" t="str">
        <f t="shared" si="81"/>
        <v>1</v>
      </c>
      <c r="O725" t="str">
        <f>CONCATENATE("1 ","")</f>
        <v>1 </v>
      </c>
      <c r="P725">
        <v>23.8</v>
      </c>
      <c r="Q725" t="s">
        <v>24</v>
      </c>
    </row>
    <row r="726" spans="1:17" ht="15">
      <c r="A726" t="s">
        <v>17</v>
      </c>
      <c r="B726" s="1">
        <v>41831</v>
      </c>
      <c r="C726" t="s">
        <v>43</v>
      </c>
      <c r="D726" t="str">
        <f>CONCATENATE("0040024583","")</f>
        <v>0040024583</v>
      </c>
      <c r="E726" t="str">
        <f>CONCATENATE("0500752000030       ","")</f>
        <v>0500752000030       </v>
      </c>
      <c r="F726" t="str">
        <f>CONCATENATE("983072100978","")</f>
        <v>983072100978</v>
      </c>
      <c r="G726" t="s">
        <v>1571</v>
      </c>
      <c r="H726" t="s">
        <v>1574</v>
      </c>
      <c r="I726" t="s">
        <v>1573</v>
      </c>
      <c r="J726" t="str">
        <f t="shared" si="80"/>
        <v>080502</v>
      </c>
      <c r="K726" t="s">
        <v>22</v>
      </c>
      <c r="L726" t="s">
        <v>23</v>
      </c>
      <c r="M726" t="str">
        <f t="shared" si="81"/>
        <v>1</v>
      </c>
      <c r="O726" t="str">
        <f>CONCATENATE("4 ","")</f>
        <v>4 </v>
      </c>
      <c r="P726">
        <v>32.9</v>
      </c>
      <c r="Q726" t="s">
        <v>24</v>
      </c>
    </row>
    <row r="727" spans="1:17" ht="15">
      <c r="A727" t="s">
        <v>17</v>
      </c>
      <c r="B727" s="1">
        <v>41831</v>
      </c>
      <c r="C727" t="s">
        <v>43</v>
      </c>
      <c r="D727" t="str">
        <f>CONCATENATE("0040024585","")</f>
        <v>0040024585</v>
      </c>
      <c r="E727" t="str">
        <f>CONCATENATE("0500752000110       ","")</f>
        <v>0500752000110       </v>
      </c>
      <c r="F727" t="str">
        <f>CONCATENATE("983072101002","")</f>
        <v>983072101002</v>
      </c>
      <c r="G727" t="s">
        <v>1571</v>
      </c>
      <c r="H727" t="s">
        <v>1575</v>
      </c>
      <c r="I727" t="s">
        <v>1573</v>
      </c>
      <c r="J727" t="str">
        <f t="shared" si="80"/>
        <v>080502</v>
      </c>
      <c r="K727" t="s">
        <v>22</v>
      </c>
      <c r="L727" t="s">
        <v>23</v>
      </c>
      <c r="M727" t="str">
        <f t="shared" si="81"/>
        <v>1</v>
      </c>
      <c r="O727" t="str">
        <f>CONCATENATE("1 ","")</f>
        <v>1 </v>
      </c>
      <c r="P727">
        <v>18.05</v>
      </c>
      <c r="Q727" t="s">
        <v>24</v>
      </c>
    </row>
    <row r="728" spans="1:17" ht="15">
      <c r="A728" t="s">
        <v>17</v>
      </c>
      <c r="B728" s="1">
        <v>41831</v>
      </c>
      <c r="C728" t="s">
        <v>43</v>
      </c>
      <c r="D728" t="str">
        <f>CONCATENATE("0040024586","")</f>
        <v>0040024586</v>
      </c>
      <c r="E728" t="str">
        <f>CONCATENATE("0500752000120       ","")</f>
        <v>0500752000120       </v>
      </c>
      <c r="F728" t="str">
        <f>CONCATENATE("983072100993","")</f>
        <v>983072100993</v>
      </c>
      <c r="G728" t="s">
        <v>1571</v>
      </c>
      <c r="H728" t="s">
        <v>1576</v>
      </c>
      <c r="I728" t="s">
        <v>1573</v>
      </c>
      <c r="J728" t="str">
        <f t="shared" si="80"/>
        <v>080502</v>
      </c>
      <c r="K728" t="s">
        <v>22</v>
      </c>
      <c r="L728" t="s">
        <v>23</v>
      </c>
      <c r="M728" t="str">
        <f t="shared" si="81"/>
        <v>1</v>
      </c>
      <c r="O728" t="str">
        <f>CONCATENATE("4 ","")</f>
        <v>4 </v>
      </c>
      <c r="P728">
        <v>31.7</v>
      </c>
      <c r="Q728" t="s">
        <v>24</v>
      </c>
    </row>
    <row r="729" spans="1:17" ht="15">
      <c r="A729" t="s">
        <v>17</v>
      </c>
      <c r="B729" s="1">
        <v>41831</v>
      </c>
      <c r="C729" t="s">
        <v>43</v>
      </c>
      <c r="D729" t="str">
        <f>CONCATENATE("0040024587","")</f>
        <v>0040024587</v>
      </c>
      <c r="E729" t="str">
        <f>CONCATENATE("0500752000130       ","")</f>
        <v>0500752000130       </v>
      </c>
      <c r="F729" t="str">
        <f>CONCATENATE("983072101002","")</f>
        <v>983072101002</v>
      </c>
      <c r="G729" t="s">
        <v>1571</v>
      </c>
      <c r="H729" t="s">
        <v>1577</v>
      </c>
      <c r="I729" t="s">
        <v>1573</v>
      </c>
      <c r="J729" t="str">
        <f t="shared" si="80"/>
        <v>080502</v>
      </c>
      <c r="K729" t="s">
        <v>22</v>
      </c>
      <c r="L729" t="s">
        <v>23</v>
      </c>
      <c r="M729" t="str">
        <f t="shared" si="81"/>
        <v>1</v>
      </c>
      <c r="O729" t="str">
        <f>CONCATENATE("2 ","")</f>
        <v>2 </v>
      </c>
      <c r="P729">
        <v>19.45</v>
      </c>
      <c r="Q729" t="s">
        <v>24</v>
      </c>
    </row>
    <row r="730" spans="1:17" ht="15">
      <c r="A730" t="s">
        <v>17</v>
      </c>
      <c r="B730" s="1">
        <v>41831</v>
      </c>
      <c r="C730" t="s">
        <v>43</v>
      </c>
      <c r="D730" t="str">
        <f>CONCATENATE("0040024605","")</f>
        <v>0040024605</v>
      </c>
      <c r="E730" t="str">
        <f>CONCATENATE("0500754000100       ","")</f>
        <v>0500754000100       </v>
      </c>
      <c r="F730" t="str">
        <f>CONCATENATE("983072100995","")</f>
        <v>983072100995</v>
      </c>
      <c r="G730" t="s">
        <v>1578</v>
      </c>
      <c r="H730" t="s">
        <v>1579</v>
      </c>
      <c r="I730" t="s">
        <v>1580</v>
      </c>
      <c r="J730" t="str">
        <f t="shared" si="80"/>
        <v>080502</v>
      </c>
      <c r="K730" t="s">
        <v>22</v>
      </c>
      <c r="L730" t="s">
        <v>23</v>
      </c>
      <c r="M730" t="str">
        <f t="shared" si="81"/>
        <v>1</v>
      </c>
      <c r="O730" t="str">
        <f>CONCATENATE("1 ","")</f>
        <v>1 </v>
      </c>
      <c r="P730">
        <v>12.95</v>
      </c>
      <c r="Q730" t="s">
        <v>24</v>
      </c>
    </row>
    <row r="731" spans="1:17" ht="15">
      <c r="A731" t="s">
        <v>17</v>
      </c>
      <c r="B731" s="1">
        <v>41831</v>
      </c>
      <c r="C731" t="s">
        <v>43</v>
      </c>
      <c r="D731" t="str">
        <f>CONCATENATE("0040024600","")</f>
        <v>0040024600</v>
      </c>
      <c r="E731" t="str">
        <f>CONCATENATE("0500754000110       ","")</f>
        <v>0500754000110       </v>
      </c>
      <c r="F731" t="str">
        <f>CONCATENATE("983072100987","")</f>
        <v>983072100987</v>
      </c>
      <c r="G731" t="s">
        <v>1578</v>
      </c>
      <c r="H731" t="s">
        <v>1581</v>
      </c>
      <c r="I731" t="s">
        <v>1580</v>
      </c>
      <c r="J731" t="str">
        <f t="shared" si="80"/>
        <v>080502</v>
      </c>
      <c r="K731" t="s">
        <v>22</v>
      </c>
      <c r="L731" t="s">
        <v>23</v>
      </c>
      <c r="M731" t="str">
        <f t="shared" si="81"/>
        <v>1</v>
      </c>
      <c r="O731" t="str">
        <f>CONCATENATE("1 ","")</f>
        <v>1 </v>
      </c>
      <c r="P731">
        <v>18.55</v>
      </c>
      <c r="Q731" t="s">
        <v>24</v>
      </c>
    </row>
    <row r="732" spans="1:17" ht="15">
      <c r="A732" t="s">
        <v>17</v>
      </c>
      <c r="B732" s="1">
        <v>41831</v>
      </c>
      <c r="C732" t="s">
        <v>43</v>
      </c>
      <c r="D732" t="str">
        <f>CONCATENATE("0040024606","")</f>
        <v>0040024606</v>
      </c>
      <c r="E732" t="str">
        <f>CONCATENATE("0500754000120       ","")</f>
        <v>0500754000120       </v>
      </c>
      <c r="F732" t="str">
        <f>CONCATENATE("983072100995","")</f>
        <v>983072100995</v>
      </c>
      <c r="G732" t="s">
        <v>1578</v>
      </c>
      <c r="H732" t="s">
        <v>1582</v>
      </c>
      <c r="I732" t="s">
        <v>1580</v>
      </c>
      <c r="J732" t="str">
        <f t="shared" si="80"/>
        <v>080502</v>
      </c>
      <c r="K732" t="s">
        <v>22</v>
      </c>
      <c r="L732" t="s">
        <v>23</v>
      </c>
      <c r="M732" t="str">
        <f t="shared" si="81"/>
        <v>1</v>
      </c>
      <c r="O732" t="str">
        <f>CONCATENATE("1 ","")</f>
        <v>1 </v>
      </c>
      <c r="P732">
        <v>14.4</v>
      </c>
      <c r="Q732" t="s">
        <v>24</v>
      </c>
    </row>
    <row r="733" spans="1:17" ht="15">
      <c r="A733" t="s">
        <v>17</v>
      </c>
      <c r="B733" s="1">
        <v>41831</v>
      </c>
      <c r="C733" t="s">
        <v>43</v>
      </c>
      <c r="D733" t="str">
        <f>CONCATENATE("0040024607","")</f>
        <v>0040024607</v>
      </c>
      <c r="E733" t="str">
        <f>CONCATENATE("0500754000130       ","")</f>
        <v>0500754000130       </v>
      </c>
      <c r="F733" t="str">
        <f>CONCATENATE("983072101002","")</f>
        <v>983072101002</v>
      </c>
      <c r="G733" t="s">
        <v>1578</v>
      </c>
      <c r="H733" t="s">
        <v>1583</v>
      </c>
      <c r="I733" t="s">
        <v>1580</v>
      </c>
      <c r="J733" t="str">
        <f t="shared" si="80"/>
        <v>080502</v>
      </c>
      <c r="K733" t="s">
        <v>22</v>
      </c>
      <c r="L733" t="s">
        <v>23</v>
      </c>
      <c r="M733" t="str">
        <f t="shared" si="81"/>
        <v>1</v>
      </c>
      <c r="O733" t="str">
        <f>CONCATENATE("6 ","")</f>
        <v>6 </v>
      </c>
      <c r="P733">
        <v>49.45</v>
      </c>
      <c r="Q733" t="s">
        <v>24</v>
      </c>
    </row>
    <row r="734" spans="1:17" ht="15">
      <c r="A734" t="s">
        <v>17</v>
      </c>
      <c r="B734" s="1">
        <v>41831</v>
      </c>
      <c r="C734" t="s">
        <v>43</v>
      </c>
      <c r="D734" t="str">
        <f>CONCATENATE("0040024621","")</f>
        <v>0040024621</v>
      </c>
      <c r="E734" t="str">
        <f>CONCATENATE("0500756000050       ","")</f>
        <v>0500756000050       </v>
      </c>
      <c r="F734" t="str">
        <f>CONCATENATE("983072100993","")</f>
        <v>983072100993</v>
      </c>
      <c r="G734" t="s">
        <v>1584</v>
      </c>
      <c r="H734" t="s">
        <v>1585</v>
      </c>
      <c r="I734" t="s">
        <v>1586</v>
      </c>
      <c r="J734" t="str">
        <f t="shared" si="80"/>
        <v>080502</v>
      </c>
      <c r="K734" t="s">
        <v>22</v>
      </c>
      <c r="L734" t="s">
        <v>23</v>
      </c>
      <c r="M734" t="str">
        <f t="shared" si="81"/>
        <v>1</v>
      </c>
      <c r="O734" t="str">
        <f>CONCATENATE("1 ","")</f>
        <v>1 </v>
      </c>
      <c r="P734">
        <v>13.55</v>
      </c>
      <c r="Q734" t="s">
        <v>24</v>
      </c>
    </row>
    <row r="735" spans="1:17" ht="15">
      <c r="A735" t="s">
        <v>17</v>
      </c>
      <c r="B735" s="1">
        <v>41831</v>
      </c>
      <c r="C735" t="s">
        <v>43</v>
      </c>
      <c r="D735" t="str">
        <f>CONCATENATE("0040024643","")</f>
        <v>0040024643</v>
      </c>
      <c r="E735" t="str">
        <f>CONCATENATE("0500761000120       ","")</f>
        <v>0500761000120       </v>
      </c>
      <c r="F735" t="str">
        <f>CONCATENATE("983072100926","")</f>
        <v>983072100926</v>
      </c>
      <c r="G735" t="s">
        <v>1587</v>
      </c>
      <c r="H735" t="s">
        <v>1588</v>
      </c>
      <c r="I735" t="s">
        <v>1589</v>
      </c>
      <c r="J735" t="str">
        <f t="shared" si="80"/>
        <v>080502</v>
      </c>
      <c r="K735" t="s">
        <v>22</v>
      </c>
      <c r="L735" t="s">
        <v>23</v>
      </c>
      <c r="M735" t="str">
        <f t="shared" si="81"/>
        <v>1</v>
      </c>
      <c r="O735" t="str">
        <f>CONCATENATE("1 ","")</f>
        <v>1 </v>
      </c>
      <c r="P735">
        <v>13.6</v>
      </c>
      <c r="Q735" t="s">
        <v>24</v>
      </c>
    </row>
    <row r="736" spans="1:17" ht="15">
      <c r="A736" t="s">
        <v>17</v>
      </c>
      <c r="B736" s="1">
        <v>41831</v>
      </c>
      <c r="C736" t="s">
        <v>43</v>
      </c>
      <c r="D736" t="str">
        <f>CONCATENATE("0040024536","")</f>
        <v>0040024536</v>
      </c>
      <c r="E736" t="str">
        <f>CONCATENATE("0500770000090       ","")</f>
        <v>0500770000090       </v>
      </c>
      <c r="F736" t="str">
        <f>CONCATENATE("983072100995","")</f>
        <v>983072100995</v>
      </c>
      <c r="G736" t="s">
        <v>1590</v>
      </c>
      <c r="H736" t="s">
        <v>1591</v>
      </c>
      <c r="I736" t="s">
        <v>1592</v>
      </c>
      <c r="J736" t="str">
        <f t="shared" si="80"/>
        <v>080502</v>
      </c>
      <c r="K736" t="s">
        <v>22</v>
      </c>
      <c r="L736" t="s">
        <v>23</v>
      </c>
      <c r="M736" t="str">
        <f t="shared" si="81"/>
        <v>1</v>
      </c>
      <c r="O736" t="str">
        <f>CONCATENATE("7 ","")</f>
        <v>7 </v>
      </c>
      <c r="P736">
        <v>148.65</v>
      </c>
      <c r="Q736" t="s">
        <v>24</v>
      </c>
    </row>
    <row r="737" spans="1:17" ht="15">
      <c r="A737" t="s">
        <v>17</v>
      </c>
      <c r="B737" s="1">
        <v>41831</v>
      </c>
      <c r="C737" t="s">
        <v>43</v>
      </c>
      <c r="D737" t="str">
        <f>CONCATENATE("0040024537","")</f>
        <v>0040024537</v>
      </c>
      <c r="E737" t="str">
        <f>CONCATENATE("0500770000100       ","")</f>
        <v>0500770000100       </v>
      </c>
      <c r="F737" t="str">
        <f>CONCATENATE("983072100998","")</f>
        <v>983072100998</v>
      </c>
      <c r="G737" t="s">
        <v>1590</v>
      </c>
      <c r="H737" t="s">
        <v>1593</v>
      </c>
      <c r="I737" t="s">
        <v>1592</v>
      </c>
      <c r="J737" t="str">
        <f t="shared" si="80"/>
        <v>080502</v>
      </c>
      <c r="K737" t="s">
        <v>22</v>
      </c>
      <c r="L737" t="s">
        <v>23</v>
      </c>
      <c r="M737" t="str">
        <f t="shared" si="81"/>
        <v>1</v>
      </c>
      <c r="O737" t="str">
        <f>CONCATENATE("1 ","")</f>
        <v>1 </v>
      </c>
      <c r="P737">
        <v>26.9</v>
      </c>
      <c r="Q737" t="s">
        <v>24</v>
      </c>
    </row>
    <row r="738" spans="1:17" ht="15">
      <c r="A738" t="s">
        <v>17</v>
      </c>
      <c r="B738" s="1">
        <v>41831</v>
      </c>
      <c r="C738" t="s">
        <v>43</v>
      </c>
      <c r="D738" t="str">
        <f>CONCATENATE("0040024553","")</f>
        <v>0040024553</v>
      </c>
      <c r="E738" t="str">
        <f>CONCATENATE("0500770000210       ","")</f>
        <v>0500770000210       </v>
      </c>
      <c r="F738" t="str">
        <f>CONCATENATE("983072101000","")</f>
        <v>983072101000</v>
      </c>
      <c r="G738" t="s">
        <v>1590</v>
      </c>
      <c r="H738" t="s">
        <v>1594</v>
      </c>
      <c r="I738" t="s">
        <v>1592</v>
      </c>
      <c r="J738" t="str">
        <f t="shared" si="80"/>
        <v>080502</v>
      </c>
      <c r="K738" t="s">
        <v>22</v>
      </c>
      <c r="L738" t="s">
        <v>23</v>
      </c>
      <c r="M738" t="str">
        <f t="shared" si="81"/>
        <v>1</v>
      </c>
      <c r="O738" t="str">
        <f>CONCATENATE("1 ","")</f>
        <v>1 </v>
      </c>
      <c r="P738">
        <v>21.3</v>
      </c>
      <c r="Q738" t="s">
        <v>24</v>
      </c>
    </row>
    <row r="739" spans="1:17" ht="15">
      <c r="A739" t="s">
        <v>17</v>
      </c>
      <c r="B739" s="1">
        <v>41831</v>
      </c>
      <c r="C739" t="s">
        <v>43</v>
      </c>
      <c r="D739" t="str">
        <f>CONCATENATE("0040024557","")</f>
        <v>0040024557</v>
      </c>
      <c r="E739" t="str">
        <f>CONCATENATE("0500770000340       ","")</f>
        <v>0500770000340       </v>
      </c>
      <c r="F739" t="str">
        <f>CONCATENATE("983072100973","")</f>
        <v>983072100973</v>
      </c>
      <c r="G739" t="s">
        <v>1590</v>
      </c>
      <c r="H739" t="s">
        <v>1595</v>
      </c>
      <c r="I739" t="s">
        <v>1592</v>
      </c>
      <c r="J739" t="str">
        <f t="shared" si="80"/>
        <v>080502</v>
      </c>
      <c r="K739" t="s">
        <v>22</v>
      </c>
      <c r="L739" t="s">
        <v>23</v>
      </c>
      <c r="M739" t="str">
        <f t="shared" si="81"/>
        <v>1</v>
      </c>
      <c r="O739" t="str">
        <f>CONCATENATE("1 ","")</f>
        <v>1 </v>
      </c>
      <c r="P739">
        <v>23.4</v>
      </c>
      <c r="Q739" t="s">
        <v>24</v>
      </c>
    </row>
    <row r="740" spans="1:17" ht="15">
      <c r="A740" t="s">
        <v>17</v>
      </c>
      <c r="B740" s="1">
        <v>41831</v>
      </c>
      <c r="C740" t="s">
        <v>43</v>
      </c>
      <c r="D740" t="str">
        <f>CONCATENATE("0040024567","")</f>
        <v>0040024567</v>
      </c>
      <c r="E740" t="str">
        <f>CONCATENATE("0500771000110       ","")</f>
        <v>0500771000110       </v>
      </c>
      <c r="F740" t="str">
        <f>CONCATENATE("983072101002","")</f>
        <v>983072101002</v>
      </c>
      <c r="G740" t="s">
        <v>1596</v>
      </c>
      <c r="H740" t="s">
        <v>1597</v>
      </c>
      <c r="I740" t="s">
        <v>1598</v>
      </c>
      <c r="J740" t="str">
        <f t="shared" si="80"/>
        <v>080502</v>
      </c>
      <c r="K740" t="s">
        <v>22</v>
      </c>
      <c r="L740" t="s">
        <v>23</v>
      </c>
      <c r="M740" t="str">
        <f t="shared" si="81"/>
        <v>1</v>
      </c>
      <c r="O740" t="str">
        <f>CONCATENATE("2 ","")</f>
        <v>2 </v>
      </c>
      <c r="P740">
        <v>19.35</v>
      </c>
      <c r="Q740" t="s">
        <v>24</v>
      </c>
    </row>
    <row r="741" spans="1:17" ht="15">
      <c r="A741" t="s">
        <v>17</v>
      </c>
      <c r="B741" s="1">
        <v>41831</v>
      </c>
      <c r="C741" t="s">
        <v>43</v>
      </c>
      <c r="D741" t="str">
        <f>CONCATENATE("0040024568","")</f>
        <v>0040024568</v>
      </c>
      <c r="E741" t="str">
        <f>CONCATENATE("0500771000120       ","")</f>
        <v>0500771000120       </v>
      </c>
      <c r="F741" t="str">
        <f>CONCATENATE("983072100989","")</f>
        <v>983072100989</v>
      </c>
      <c r="G741" t="s">
        <v>1596</v>
      </c>
      <c r="H741" t="s">
        <v>1599</v>
      </c>
      <c r="I741" t="s">
        <v>1598</v>
      </c>
      <c r="J741" t="str">
        <f t="shared" si="80"/>
        <v>080502</v>
      </c>
      <c r="K741" t="s">
        <v>22</v>
      </c>
      <c r="L741" t="s">
        <v>23</v>
      </c>
      <c r="M741" t="str">
        <f t="shared" si="81"/>
        <v>1</v>
      </c>
      <c r="O741" t="str">
        <f>CONCATENATE("3 ","")</f>
        <v>3 </v>
      </c>
      <c r="P741">
        <v>32.1</v>
      </c>
      <c r="Q741" t="s">
        <v>24</v>
      </c>
    </row>
    <row r="742" spans="1:17" ht="15">
      <c r="A742" t="s">
        <v>17</v>
      </c>
      <c r="B742" s="1">
        <v>41831</v>
      </c>
      <c r="C742" t="s">
        <v>43</v>
      </c>
      <c r="D742" t="str">
        <f>CONCATENATE("0040024562","")</f>
        <v>0040024562</v>
      </c>
      <c r="E742" t="str">
        <f>CONCATENATE("0500771000150       ","")</f>
        <v>0500771000150       </v>
      </c>
      <c r="F742" t="str">
        <f>CONCATENATE("983072101001","")</f>
        <v>983072101001</v>
      </c>
      <c r="G742" t="s">
        <v>1596</v>
      </c>
      <c r="H742" t="s">
        <v>1600</v>
      </c>
      <c r="I742" t="s">
        <v>1598</v>
      </c>
      <c r="J742" t="str">
        <f aca="true" t="shared" si="82" ref="J742:J767">CONCATENATE("080502","")</f>
        <v>080502</v>
      </c>
      <c r="K742" t="s">
        <v>22</v>
      </c>
      <c r="L742" t="s">
        <v>23</v>
      </c>
      <c r="M742" t="str">
        <f t="shared" si="81"/>
        <v>1</v>
      </c>
      <c r="O742" t="str">
        <f>CONCATENATE("1 ","")</f>
        <v>1 </v>
      </c>
      <c r="P742">
        <v>22</v>
      </c>
      <c r="Q742" t="s">
        <v>24</v>
      </c>
    </row>
    <row r="743" spans="1:17" ht="15">
      <c r="A743" t="s">
        <v>17</v>
      </c>
      <c r="B743" s="1">
        <v>41831</v>
      </c>
      <c r="C743" t="s">
        <v>43</v>
      </c>
      <c r="D743" t="str">
        <f>CONCATENATE("0040024521","")</f>
        <v>0040024521</v>
      </c>
      <c r="E743" t="str">
        <f>CONCATENATE("0500772000100       ","")</f>
        <v>0500772000100       </v>
      </c>
      <c r="F743" t="str">
        <f>CONCATENATE("983072100924","")</f>
        <v>983072100924</v>
      </c>
      <c r="G743" t="s">
        <v>1601</v>
      </c>
      <c r="H743" t="s">
        <v>1602</v>
      </c>
      <c r="I743" t="s">
        <v>1603</v>
      </c>
      <c r="J743" t="str">
        <f t="shared" si="82"/>
        <v>080502</v>
      </c>
      <c r="K743" t="s">
        <v>22</v>
      </c>
      <c r="L743" t="s">
        <v>23</v>
      </c>
      <c r="M743" t="str">
        <f t="shared" si="81"/>
        <v>1</v>
      </c>
      <c r="O743" t="str">
        <f>CONCATENATE("2 ","")</f>
        <v>2 </v>
      </c>
      <c r="P743">
        <v>28.2</v>
      </c>
      <c r="Q743" t="s">
        <v>24</v>
      </c>
    </row>
    <row r="744" spans="1:17" ht="15">
      <c r="A744" t="s">
        <v>17</v>
      </c>
      <c r="B744" s="1">
        <v>41831</v>
      </c>
      <c r="C744" t="s">
        <v>43</v>
      </c>
      <c r="D744" t="str">
        <f>CONCATENATE("0040024506","")</f>
        <v>0040024506</v>
      </c>
      <c r="E744" t="str">
        <f>CONCATENATE("0500773000040       ","")</f>
        <v>0500773000040       </v>
      </c>
      <c r="F744" t="str">
        <f>CONCATENATE("983072100978","")</f>
        <v>983072100978</v>
      </c>
      <c r="G744" t="s">
        <v>1604</v>
      </c>
      <c r="H744" t="s">
        <v>1605</v>
      </c>
      <c r="I744" t="s">
        <v>1606</v>
      </c>
      <c r="J744" t="str">
        <f t="shared" si="82"/>
        <v>080502</v>
      </c>
      <c r="K744" t="s">
        <v>22</v>
      </c>
      <c r="L744" t="s">
        <v>23</v>
      </c>
      <c r="M744" t="str">
        <f t="shared" si="81"/>
        <v>1</v>
      </c>
      <c r="O744" t="str">
        <f aca="true" t="shared" si="83" ref="O744:O754">CONCATENATE("1 ","")</f>
        <v>1 </v>
      </c>
      <c r="P744">
        <v>19.9</v>
      </c>
      <c r="Q744" t="s">
        <v>24</v>
      </c>
    </row>
    <row r="745" spans="1:17" ht="15">
      <c r="A745" t="s">
        <v>17</v>
      </c>
      <c r="B745" s="1">
        <v>41831</v>
      </c>
      <c r="C745" t="s">
        <v>43</v>
      </c>
      <c r="D745" t="str">
        <f>CONCATENATE("0040024520","")</f>
        <v>0040024520</v>
      </c>
      <c r="E745" t="str">
        <f>CONCATENATE("0500773000170       ","")</f>
        <v>0500773000170       </v>
      </c>
      <c r="F745" t="str">
        <f>CONCATENATE("983072100993","")</f>
        <v>983072100993</v>
      </c>
      <c r="G745" t="s">
        <v>1604</v>
      </c>
      <c r="H745" t="s">
        <v>1607</v>
      </c>
      <c r="I745" t="s">
        <v>1606</v>
      </c>
      <c r="J745" t="str">
        <f t="shared" si="82"/>
        <v>080502</v>
      </c>
      <c r="K745" t="s">
        <v>22</v>
      </c>
      <c r="L745" t="s">
        <v>23</v>
      </c>
      <c r="M745" t="str">
        <f t="shared" si="81"/>
        <v>1</v>
      </c>
      <c r="O745" t="str">
        <f t="shared" si="83"/>
        <v>1 </v>
      </c>
      <c r="P745">
        <v>27.6</v>
      </c>
      <c r="Q745" t="s">
        <v>24</v>
      </c>
    </row>
    <row r="746" spans="1:17" ht="15">
      <c r="A746" t="s">
        <v>17</v>
      </c>
      <c r="B746" s="1">
        <v>41831</v>
      </c>
      <c r="C746" t="s">
        <v>43</v>
      </c>
      <c r="D746" t="str">
        <f>CONCATENATE("0040024498","")</f>
        <v>0040024498</v>
      </c>
      <c r="E746" t="str">
        <f>CONCATENATE("0500780000010       ","")</f>
        <v>0500780000010       </v>
      </c>
      <c r="F746" t="str">
        <f>CONCATENATE("983072100991","")</f>
        <v>983072100991</v>
      </c>
      <c r="G746" t="s">
        <v>1608</v>
      </c>
      <c r="H746" t="s">
        <v>1609</v>
      </c>
      <c r="I746" t="s">
        <v>1610</v>
      </c>
      <c r="J746" t="str">
        <f t="shared" si="82"/>
        <v>080502</v>
      </c>
      <c r="K746" t="s">
        <v>22</v>
      </c>
      <c r="L746" t="s">
        <v>23</v>
      </c>
      <c r="M746" t="str">
        <f t="shared" si="81"/>
        <v>1</v>
      </c>
      <c r="O746" t="str">
        <f t="shared" si="83"/>
        <v>1 </v>
      </c>
      <c r="P746">
        <v>27.95</v>
      </c>
      <c r="Q746" t="s">
        <v>24</v>
      </c>
    </row>
    <row r="747" spans="1:17" ht="15">
      <c r="A747" t="s">
        <v>17</v>
      </c>
      <c r="B747" s="1">
        <v>41831</v>
      </c>
      <c r="C747" t="s">
        <v>43</v>
      </c>
      <c r="D747" t="str">
        <f>CONCATENATE("0040024485","")</f>
        <v>0040024485</v>
      </c>
      <c r="E747" t="str">
        <f>CONCATENATE("0500781000030       ","")</f>
        <v>0500781000030       </v>
      </c>
      <c r="F747" t="str">
        <f>CONCATENATE("983072100994","")</f>
        <v>983072100994</v>
      </c>
      <c r="G747" t="s">
        <v>1611</v>
      </c>
      <c r="H747" t="s">
        <v>1612</v>
      </c>
      <c r="I747" t="s">
        <v>1613</v>
      </c>
      <c r="J747" t="str">
        <f t="shared" si="82"/>
        <v>080502</v>
      </c>
      <c r="K747" t="s">
        <v>22</v>
      </c>
      <c r="L747" t="s">
        <v>23</v>
      </c>
      <c r="M747" t="str">
        <f t="shared" si="81"/>
        <v>1</v>
      </c>
      <c r="O747" t="str">
        <f t="shared" si="83"/>
        <v>1 </v>
      </c>
      <c r="P747">
        <v>19.85</v>
      </c>
      <c r="Q747" t="s">
        <v>24</v>
      </c>
    </row>
    <row r="748" spans="1:17" ht="15">
      <c r="A748" t="s">
        <v>17</v>
      </c>
      <c r="B748" s="1">
        <v>41831</v>
      </c>
      <c r="C748" t="s">
        <v>43</v>
      </c>
      <c r="D748" t="str">
        <f>CONCATENATE("0040024487","")</f>
        <v>0040024487</v>
      </c>
      <c r="E748" t="str">
        <f>CONCATENATE("0500781000060       ","")</f>
        <v>0500781000060       </v>
      </c>
      <c r="F748" t="str">
        <f>CONCATENATE("983072100994","")</f>
        <v>983072100994</v>
      </c>
      <c r="G748" t="s">
        <v>1611</v>
      </c>
      <c r="H748" t="s">
        <v>1614</v>
      </c>
      <c r="I748" t="s">
        <v>1613</v>
      </c>
      <c r="J748" t="str">
        <f t="shared" si="82"/>
        <v>080502</v>
      </c>
      <c r="K748" t="s">
        <v>22</v>
      </c>
      <c r="L748" t="s">
        <v>23</v>
      </c>
      <c r="M748" t="str">
        <f t="shared" si="81"/>
        <v>1</v>
      </c>
      <c r="O748" t="str">
        <f t="shared" si="83"/>
        <v>1 </v>
      </c>
      <c r="P748">
        <v>25.55</v>
      </c>
      <c r="Q748" t="s">
        <v>24</v>
      </c>
    </row>
    <row r="749" spans="1:17" ht="15">
      <c r="A749" t="s">
        <v>17</v>
      </c>
      <c r="B749" s="1">
        <v>41831</v>
      </c>
      <c r="C749" t="s">
        <v>43</v>
      </c>
      <c r="D749" t="str">
        <f>CONCATENATE("0040024483","")</f>
        <v>0040024483</v>
      </c>
      <c r="E749" t="str">
        <f>CONCATENATE("0500781000090       ","")</f>
        <v>0500781000090       </v>
      </c>
      <c r="F749" t="str">
        <f>CONCATENATE("983072100973","")</f>
        <v>983072100973</v>
      </c>
      <c r="G749" t="s">
        <v>1611</v>
      </c>
      <c r="H749" t="s">
        <v>1615</v>
      </c>
      <c r="I749" t="s">
        <v>1613</v>
      </c>
      <c r="J749" t="str">
        <f t="shared" si="82"/>
        <v>080502</v>
      </c>
      <c r="K749" t="s">
        <v>22</v>
      </c>
      <c r="L749" t="s">
        <v>23</v>
      </c>
      <c r="M749" t="str">
        <f t="shared" si="81"/>
        <v>1</v>
      </c>
      <c r="O749" t="str">
        <f t="shared" si="83"/>
        <v>1 </v>
      </c>
      <c r="P749">
        <v>13.6</v>
      </c>
      <c r="Q749" t="s">
        <v>24</v>
      </c>
    </row>
    <row r="750" spans="1:17" ht="15">
      <c r="A750" t="s">
        <v>17</v>
      </c>
      <c r="B750" s="1">
        <v>41831</v>
      </c>
      <c r="C750" t="s">
        <v>43</v>
      </c>
      <c r="D750" t="str">
        <f>CONCATENATE("0040024494","")</f>
        <v>0040024494</v>
      </c>
      <c r="E750" t="str">
        <f>CONCATENATE("0500781000110       ","")</f>
        <v>0500781000110       </v>
      </c>
      <c r="F750" t="str">
        <f>CONCATENATE("983072100973","")</f>
        <v>983072100973</v>
      </c>
      <c r="G750" t="s">
        <v>1611</v>
      </c>
      <c r="H750" t="s">
        <v>1599</v>
      </c>
      <c r="I750" t="s">
        <v>1613</v>
      </c>
      <c r="J750" t="str">
        <f t="shared" si="82"/>
        <v>080502</v>
      </c>
      <c r="K750" t="s">
        <v>22</v>
      </c>
      <c r="L750" t="s">
        <v>23</v>
      </c>
      <c r="M750" t="str">
        <f t="shared" si="81"/>
        <v>1</v>
      </c>
      <c r="O750" t="str">
        <f t="shared" si="83"/>
        <v>1 </v>
      </c>
      <c r="P750">
        <v>18.5</v>
      </c>
      <c r="Q750" t="s">
        <v>24</v>
      </c>
    </row>
    <row r="751" spans="1:17" ht="15">
      <c r="A751" t="s">
        <v>17</v>
      </c>
      <c r="B751" s="1">
        <v>41831</v>
      </c>
      <c r="C751" t="s">
        <v>43</v>
      </c>
      <c r="D751" t="str">
        <f>CONCATENATE("0040024478","")</f>
        <v>0040024478</v>
      </c>
      <c r="E751" t="str">
        <f>CONCATENATE("0500781000160       ","")</f>
        <v>0500781000160       </v>
      </c>
      <c r="F751" t="str">
        <f>CONCATENATE("983072100973","")</f>
        <v>983072100973</v>
      </c>
      <c r="G751" t="s">
        <v>1616</v>
      </c>
      <c r="H751" t="s">
        <v>1617</v>
      </c>
      <c r="I751" t="s">
        <v>1613</v>
      </c>
      <c r="J751" t="str">
        <f t="shared" si="82"/>
        <v>080502</v>
      </c>
      <c r="K751" t="s">
        <v>22</v>
      </c>
      <c r="L751" t="s">
        <v>23</v>
      </c>
      <c r="M751" t="str">
        <f t="shared" si="81"/>
        <v>1</v>
      </c>
      <c r="O751" t="str">
        <f t="shared" si="83"/>
        <v>1 </v>
      </c>
      <c r="P751">
        <v>25.15</v>
      </c>
      <c r="Q751" t="s">
        <v>24</v>
      </c>
    </row>
    <row r="752" spans="1:17" ht="15">
      <c r="A752" t="s">
        <v>17</v>
      </c>
      <c r="B752" s="1">
        <v>41831</v>
      </c>
      <c r="C752" t="s">
        <v>43</v>
      </c>
      <c r="D752" t="str">
        <f>CONCATENATE("0040024491","")</f>
        <v>0040024491</v>
      </c>
      <c r="E752" t="str">
        <f>CONCATENATE("0500781000190       ","")</f>
        <v>0500781000190       </v>
      </c>
      <c r="F752" t="str">
        <f>CONCATENATE("983072101003","")</f>
        <v>983072101003</v>
      </c>
      <c r="G752" t="s">
        <v>1616</v>
      </c>
      <c r="H752" t="s">
        <v>1618</v>
      </c>
      <c r="I752" t="s">
        <v>1613</v>
      </c>
      <c r="J752" t="str">
        <f t="shared" si="82"/>
        <v>080502</v>
      </c>
      <c r="K752" t="s">
        <v>22</v>
      </c>
      <c r="L752" t="s">
        <v>23</v>
      </c>
      <c r="M752" t="str">
        <f t="shared" si="81"/>
        <v>1</v>
      </c>
      <c r="O752" t="str">
        <f t="shared" si="83"/>
        <v>1 </v>
      </c>
      <c r="P752">
        <v>38.6</v>
      </c>
      <c r="Q752" t="s">
        <v>24</v>
      </c>
    </row>
    <row r="753" spans="1:17" ht="15">
      <c r="A753" t="s">
        <v>17</v>
      </c>
      <c r="B753" s="1">
        <v>41831</v>
      </c>
      <c r="C753" t="s">
        <v>43</v>
      </c>
      <c r="D753" t="str">
        <f>CONCATENATE("0040024458","")</f>
        <v>0040024458</v>
      </c>
      <c r="E753" t="str">
        <f>CONCATENATE("0500782000170       ","")</f>
        <v>0500782000170       </v>
      </c>
      <c r="F753" t="str">
        <f>CONCATENATE("983072100993","")</f>
        <v>983072100993</v>
      </c>
      <c r="G753" t="s">
        <v>1619</v>
      </c>
      <c r="H753" t="s">
        <v>1620</v>
      </c>
      <c r="I753" t="s">
        <v>1621</v>
      </c>
      <c r="J753" t="str">
        <f t="shared" si="82"/>
        <v>080502</v>
      </c>
      <c r="K753" t="s">
        <v>22</v>
      </c>
      <c r="L753" t="s">
        <v>23</v>
      </c>
      <c r="M753" t="str">
        <f t="shared" si="81"/>
        <v>1</v>
      </c>
      <c r="O753" t="str">
        <f t="shared" si="83"/>
        <v>1 </v>
      </c>
      <c r="P753">
        <v>17.45</v>
      </c>
      <c r="Q753" t="s">
        <v>24</v>
      </c>
    </row>
    <row r="754" spans="1:17" ht="15">
      <c r="A754" t="s">
        <v>17</v>
      </c>
      <c r="B754" s="1">
        <v>41831</v>
      </c>
      <c r="C754" t="s">
        <v>43</v>
      </c>
      <c r="D754" t="str">
        <f>CONCATENATE("0040025069","")</f>
        <v>0040025069</v>
      </c>
      <c r="E754" t="str">
        <f>CONCATENATE("0500783000050       ","")</f>
        <v>0500783000050       </v>
      </c>
      <c r="F754" t="str">
        <f>CONCATENATE("983072100996","")</f>
        <v>983072100996</v>
      </c>
      <c r="G754" t="s">
        <v>1622</v>
      </c>
      <c r="H754" t="s">
        <v>1623</v>
      </c>
      <c r="I754" t="s">
        <v>1624</v>
      </c>
      <c r="J754" t="str">
        <f t="shared" si="82"/>
        <v>080502</v>
      </c>
      <c r="K754" t="s">
        <v>22</v>
      </c>
      <c r="L754" t="s">
        <v>23</v>
      </c>
      <c r="M754" t="str">
        <f t="shared" si="81"/>
        <v>1</v>
      </c>
      <c r="O754" t="str">
        <f t="shared" si="83"/>
        <v>1 </v>
      </c>
      <c r="P754">
        <v>12.9</v>
      </c>
      <c r="Q754" t="s">
        <v>24</v>
      </c>
    </row>
    <row r="755" spans="1:17" ht="15">
      <c r="A755" t="s">
        <v>17</v>
      </c>
      <c r="B755" s="1">
        <v>41831</v>
      </c>
      <c r="C755" t="s">
        <v>43</v>
      </c>
      <c r="D755" t="str">
        <f>CONCATENATE("0040024467","")</f>
        <v>0040024467</v>
      </c>
      <c r="E755" t="str">
        <f>CONCATENATE("0500784000110       ","")</f>
        <v>0500784000110       </v>
      </c>
      <c r="F755" t="str">
        <f>CONCATENATE("983072100998","")</f>
        <v>983072100998</v>
      </c>
      <c r="G755" t="s">
        <v>1625</v>
      </c>
      <c r="H755" t="s">
        <v>1626</v>
      </c>
      <c r="I755" t="s">
        <v>1627</v>
      </c>
      <c r="J755" t="str">
        <f t="shared" si="82"/>
        <v>080502</v>
      </c>
      <c r="K755" t="s">
        <v>22</v>
      </c>
      <c r="L755" t="s">
        <v>23</v>
      </c>
      <c r="M755" t="str">
        <f t="shared" si="81"/>
        <v>1</v>
      </c>
      <c r="O755" t="str">
        <f>CONCATENATE("6 ","")</f>
        <v>6 </v>
      </c>
      <c r="P755">
        <v>49.15</v>
      </c>
      <c r="Q755" t="s">
        <v>24</v>
      </c>
    </row>
    <row r="756" spans="1:17" ht="15">
      <c r="A756" t="s">
        <v>17</v>
      </c>
      <c r="B756" s="1">
        <v>41831</v>
      </c>
      <c r="C756" t="s">
        <v>43</v>
      </c>
      <c r="D756" t="str">
        <f>CONCATENATE("0040025087","")</f>
        <v>0040025087</v>
      </c>
      <c r="E756" t="str">
        <f>CONCATENATE("0500785000140       ","")</f>
        <v>0500785000140       </v>
      </c>
      <c r="F756" t="str">
        <f>CONCATENATE("983072100924","")</f>
        <v>983072100924</v>
      </c>
      <c r="G756" t="s">
        <v>1628</v>
      </c>
      <c r="H756" t="s">
        <v>1629</v>
      </c>
      <c r="I756" t="s">
        <v>1630</v>
      </c>
      <c r="J756" t="str">
        <f t="shared" si="82"/>
        <v>080502</v>
      </c>
      <c r="K756" t="s">
        <v>22</v>
      </c>
      <c r="L756" t="s">
        <v>23</v>
      </c>
      <c r="M756" t="str">
        <f t="shared" si="81"/>
        <v>1</v>
      </c>
      <c r="O756" t="str">
        <f>CONCATENATE("1 ","")</f>
        <v>1 </v>
      </c>
      <c r="P756">
        <v>18.85</v>
      </c>
      <c r="Q756" t="s">
        <v>24</v>
      </c>
    </row>
    <row r="757" spans="1:17" ht="15">
      <c r="A757" t="s">
        <v>17</v>
      </c>
      <c r="B757" s="1">
        <v>41831</v>
      </c>
      <c r="C757" t="s">
        <v>43</v>
      </c>
      <c r="D757" t="str">
        <f>CONCATENATE("0040025083","")</f>
        <v>0040025083</v>
      </c>
      <c r="E757" t="str">
        <f>CONCATENATE("0500785000180       ","")</f>
        <v>0500785000180       </v>
      </c>
      <c r="F757" t="str">
        <f>CONCATENATE("983072100921","")</f>
        <v>983072100921</v>
      </c>
      <c r="G757" t="s">
        <v>1628</v>
      </c>
      <c r="H757" t="s">
        <v>1631</v>
      </c>
      <c r="I757" t="s">
        <v>1630</v>
      </c>
      <c r="J757" t="str">
        <f t="shared" si="82"/>
        <v>080502</v>
      </c>
      <c r="K757" t="s">
        <v>22</v>
      </c>
      <c r="L757" t="s">
        <v>23</v>
      </c>
      <c r="M757" t="str">
        <f t="shared" si="81"/>
        <v>1</v>
      </c>
      <c r="O757" t="str">
        <f>CONCATENATE("1 ","")</f>
        <v>1 </v>
      </c>
      <c r="P757">
        <v>42.45</v>
      </c>
      <c r="Q757" t="s">
        <v>24</v>
      </c>
    </row>
    <row r="758" spans="1:17" ht="15">
      <c r="A758" t="s">
        <v>17</v>
      </c>
      <c r="B758" s="1">
        <v>41831</v>
      </c>
      <c r="C758" t="s">
        <v>43</v>
      </c>
      <c r="D758" t="str">
        <f>CONCATENATE("0040025079","")</f>
        <v>0040025079</v>
      </c>
      <c r="E758" t="str">
        <f>CONCATENATE("0500785000230       ","")</f>
        <v>0500785000230       </v>
      </c>
      <c r="F758" t="str">
        <f>CONCATENATE("983072100921","")</f>
        <v>983072100921</v>
      </c>
      <c r="G758" t="s">
        <v>1628</v>
      </c>
      <c r="H758" t="s">
        <v>1632</v>
      </c>
      <c r="I758" t="s">
        <v>1630</v>
      </c>
      <c r="J758" t="str">
        <f t="shared" si="82"/>
        <v>080502</v>
      </c>
      <c r="K758" t="s">
        <v>22</v>
      </c>
      <c r="L758" t="s">
        <v>23</v>
      </c>
      <c r="M758" t="str">
        <f t="shared" si="81"/>
        <v>1</v>
      </c>
      <c r="O758" t="str">
        <f>CONCATENATE("2 ","")</f>
        <v>2 </v>
      </c>
      <c r="P758">
        <v>19.3</v>
      </c>
      <c r="Q758" t="s">
        <v>24</v>
      </c>
    </row>
    <row r="759" spans="1:17" ht="15">
      <c r="A759" t="s">
        <v>17</v>
      </c>
      <c r="B759" s="1">
        <v>41831</v>
      </c>
      <c r="C759" t="s">
        <v>43</v>
      </c>
      <c r="D759" t="str">
        <f>CONCATENATE("0040025270","")</f>
        <v>0040025270</v>
      </c>
      <c r="E759" t="str">
        <f>CONCATENATE("0500790000060       ","")</f>
        <v>0500790000060       </v>
      </c>
      <c r="F759" t="str">
        <f>CONCATENATE("983072100926","")</f>
        <v>983072100926</v>
      </c>
      <c r="G759" t="s">
        <v>1611</v>
      </c>
      <c r="H759" t="s">
        <v>1633</v>
      </c>
      <c r="I759" t="s">
        <v>1634</v>
      </c>
      <c r="J759" t="str">
        <f t="shared" si="82"/>
        <v>080502</v>
      </c>
      <c r="K759" t="s">
        <v>22</v>
      </c>
      <c r="L759" t="s">
        <v>23</v>
      </c>
      <c r="M759" t="str">
        <f t="shared" si="81"/>
        <v>1</v>
      </c>
      <c r="O759" t="str">
        <f>CONCATENATE("2 ","")</f>
        <v>2 </v>
      </c>
      <c r="P759">
        <v>19.3</v>
      </c>
      <c r="Q759" t="s">
        <v>24</v>
      </c>
    </row>
    <row r="760" spans="1:17" ht="15">
      <c r="A760" t="s">
        <v>17</v>
      </c>
      <c r="B760" s="1">
        <v>41831</v>
      </c>
      <c r="C760" t="s">
        <v>43</v>
      </c>
      <c r="D760" t="str">
        <f>CONCATENATE("0040025264","")</f>
        <v>0040025264</v>
      </c>
      <c r="E760" t="str">
        <f>CONCATENATE("0500790000100       ","")</f>
        <v>0500790000100       </v>
      </c>
      <c r="F760" t="str">
        <f>CONCATENATE("983072100926","")</f>
        <v>983072100926</v>
      </c>
      <c r="G760" t="s">
        <v>1611</v>
      </c>
      <c r="H760" t="s">
        <v>1635</v>
      </c>
      <c r="I760" t="s">
        <v>1634</v>
      </c>
      <c r="J760" t="str">
        <f t="shared" si="82"/>
        <v>080502</v>
      </c>
      <c r="K760" t="s">
        <v>22</v>
      </c>
      <c r="L760" t="s">
        <v>23</v>
      </c>
      <c r="M760" t="str">
        <f t="shared" si="81"/>
        <v>1</v>
      </c>
      <c r="O760" t="str">
        <f aca="true" t="shared" si="84" ref="O760:O765">CONCATENATE("1 ","")</f>
        <v>1 </v>
      </c>
      <c r="P760">
        <v>12.85</v>
      </c>
      <c r="Q760" t="s">
        <v>24</v>
      </c>
    </row>
    <row r="761" spans="1:17" ht="15">
      <c r="A761" t="s">
        <v>17</v>
      </c>
      <c r="B761" s="1">
        <v>41831</v>
      </c>
      <c r="C761" t="s">
        <v>43</v>
      </c>
      <c r="D761" t="str">
        <f>CONCATENATE("0040025262","")</f>
        <v>0040025262</v>
      </c>
      <c r="E761" t="str">
        <f>CONCATENATE("0500790000150       ","")</f>
        <v>0500790000150       </v>
      </c>
      <c r="F761" t="str">
        <f>CONCATENATE("983072101002","")</f>
        <v>983072101002</v>
      </c>
      <c r="G761" t="s">
        <v>1611</v>
      </c>
      <c r="H761" t="s">
        <v>1636</v>
      </c>
      <c r="I761" t="s">
        <v>1634</v>
      </c>
      <c r="J761" t="str">
        <f t="shared" si="82"/>
        <v>080502</v>
      </c>
      <c r="K761" t="s">
        <v>22</v>
      </c>
      <c r="L761" t="s">
        <v>23</v>
      </c>
      <c r="M761" t="str">
        <f t="shared" si="81"/>
        <v>1</v>
      </c>
      <c r="O761" t="str">
        <f t="shared" si="84"/>
        <v>1 </v>
      </c>
      <c r="P761">
        <v>12.85</v>
      </c>
      <c r="Q761" t="s">
        <v>24</v>
      </c>
    </row>
    <row r="762" spans="1:17" ht="15">
      <c r="A762" t="s">
        <v>17</v>
      </c>
      <c r="B762" s="1">
        <v>41831</v>
      </c>
      <c r="C762" t="s">
        <v>43</v>
      </c>
      <c r="D762" t="str">
        <f>CONCATENATE("0040025053","")</f>
        <v>0040025053</v>
      </c>
      <c r="E762" t="str">
        <f>CONCATENATE("0500791000010       ","")</f>
        <v>0500791000010       </v>
      </c>
      <c r="F762" t="str">
        <f>CONCATENATE("983072100993","")</f>
        <v>983072100993</v>
      </c>
      <c r="G762" t="s">
        <v>1637</v>
      </c>
      <c r="H762" t="s">
        <v>1638</v>
      </c>
      <c r="I762" t="s">
        <v>1639</v>
      </c>
      <c r="J762" t="str">
        <f t="shared" si="82"/>
        <v>080502</v>
      </c>
      <c r="K762" t="s">
        <v>22</v>
      </c>
      <c r="L762" t="s">
        <v>23</v>
      </c>
      <c r="M762" t="str">
        <f t="shared" si="81"/>
        <v>1</v>
      </c>
      <c r="O762" t="str">
        <f t="shared" si="84"/>
        <v>1 </v>
      </c>
      <c r="P762">
        <v>17.75</v>
      </c>
      <c r="Q762" t="s">
        <v>24</v>
      </c>
    </row>
    <row r="763" spans="1:17" ht="15">
      <c r="A763" t="s">
        <v>17</v>
      </c>
      <c r="B763" s="1">
        <v>41831</v>
      </c>
      <c r="C763" t="s">
        <v>43</v>
      </c>
      <c r="D763" t="str">
        <f>CONCATENATE("0040025049","")</f>
        <v>0040025049</v>
      </c>
      <c r="E763" t="str">
        <f>CONCATENATE("0500791000050       ","")</f>
        <v>0500791000050       </v>
      </c>
      <c r="F763" t="str">
        <f>CONCATENATE("983072100993","")</f>
        <v>983072100993</v>
      </c>
      <c r="G763" t="s">
        <v>1637</v>
      </c>
      <c r="H763" t="s">
        <v>1640</v>
      </c>
      <c r="I763" t="s">
        <v>1639</v>
      </c>
      <c r="J763" t="str">
        <f t="shared" si="82"/>
        <v>080502</v>
      </c>
      <c r="K763" t="s">
        <v>22</v>
      </c>
      <c r="L763" t="s">
        <v>23</v>
      </c>
      <c r="M763" t="str">
        <f t="shared" si="81"/>
        <v>1</v>
      </c>
      <c r="O763" t="str">
        <f t="shared" si="84"/>
        <v>1 </v>
      </c>
      <c r="P763">
        <v>17.4</v>
      </c>
      <c r="Q763" t="s">
        <v>24</v>
      </c>
    </row>
    <row r="764" spans="1:17" ht="15">
      <c r="A764" t="s">
        <v>17</v>
      </c>
      <c r="B764" s="1">
        <v>41831</v>
      </c>
      <c r="C764" t="s">
        <v>43</v>
      </c>
      <c r="D764" t="str">
        <f>CONCATENATE("0040025021","")</f>
        <v>0040025021</v>
      </c>
      <c r="E764" t="str">
        <f>CONCATENATE("0500793000010       ","")</f>
        <v>0500793000010       </v>
      </c>
      <c r="F764" t="str">
        <f>CONCATENATE("983072100989","")</f>
        <v>983072100989</v>
      </c>
      <c r="G764" t="s">
        <v>1641</v>
      </c>
      <c r="H764" t="s">
        <v>1642</v>
      </c>
      <c r="I764" t="s">
        <v>1643</v>
      </c>
      <c r="J764" t="str">
        <f t="shared" si="82"/>
        <v>080502</v>
      </c>
      <c r="K764" t="s">
        <v>22</v>
      </c>
      <c r="L764" t="s">
        <v>23</v>
      </c>
      <c r="M764" t="str">
        <f t="shared" si="81"/>
        <v>1</v>
      </c>
      <c r="O764" t="str">
        <f t="shared" si="84"/>
        <v>1 </v>
      </c>
      <c r="P764">
        <v>147.75</v>
      </c>
      <c r="Q764" t="s">
        <v>24</v>
      </c>
    </row>
    <row r="765" spans="1:17" ht="15">
      <c r="A765" t="s">
        <v>17</v>
      </c>
      <c r="B765" s="1">
        <v>41831</v>
      </c>
      <c r="C765" t="s">
        <v>43</v>
      </c>
      <c r="D765" t="str">
        <f>CONCATENATE("0040025023","")</f>
        <v>0040025023</v>
      </c>
      <c r="E765" t="str">
        <f>CONCATENATE("0500793000030       ","")</f>
        <v>0500793000030       </v>
      </c>
      <c r="F765" t="str">
        <f>CONCATENATE("983072100989","")</f>
        <v>983072100989</v>
      </c>
      <c r="G765" t="s">
        <v>1641</v>
      </c>
      <c r="H765" t="s">
        <v>1644</v>
      </c>
      <c r="I765" t="s">
        <v>1643</v>
      </c>
      <c r="J765" t="str">
        <f t="shared" si="82"/>
        <v>080502</v>
      </c>
      <c r="K765" t="s">
        <v>22</v>
      </c>
      <c r="L765" t="s">
        <v>23</v>
      </c>
      <c r="M765" t="str">
        <f t="shared" si="81"/>
        <v>1</v>
      </c>
      <c r="O765" t="str">
        <f t="shared" si="84"/>
        <v>1 </v>
      </c>
      <c r="P765">
        <v>13</v>
      </c>
      <c r="Q765" t="s">
        <v>24</v>
      </c>
    </row>
    <row r="766" spans="1:17" ht="15">
      <c r="A766" t="s">
        <v>17</v>
      </c>
      <c r="B766" s="1">
        <v>41831</v>
      </c>
      <c r="C766" t="s">
        <v>43</v>
      </c>
      <c r="D766" t="str">
        <f>CONCATENATE("0040025025","")</f>
        <v>0040025025</v>
      </c>
      <c r="E766" t="str">
        <f>CONCATENATE("0500793000040       ","")</f>
        <v>0500793000040       </v>
      </c>
      <c r="F766" t="str">
        <f>CONCATENATE("983072100989","")</f>
        <v>983072100989</v>
      </c>
      <c r="G766" t="s">
        <v>1641</v>
      </c>
      <c r="H766" t="s">
        <v>1645</v>
      </c>
      <c r="I766" t="s">
        <v>1643</v>
      </c>
      <c r="J766" t="str">
        <f t="shared" si="82"/>
        <v>080502</v>
      </c>
      <c r="K766" t="s">
        <v>22</v>
      </c>
      <c r="L766" t="s">
        <v>23</v>
      </c>
      <c r="M766" t="str">
        <f t="shared" si="81"/>
        <v>1</v>
      </c>
      <c r="O766" t="str">
        <f>CONCATENATE("3 ","")</f>
        <v>3 </v>
      </c>
      <c r="P766">
        <v>172.35</v>
      </c>
      <c r="Q766" t="s">
        <v>24</v>
      </c>
    </row>
    <row r="767" spans="1:17" ht="15">
      <c r="A767" t="s">
        <v>17</v>
      </c>
      <c r="B767" s="1">
        <v>41831</v>
      </c>
      <c r="C767" t="s">
        <v>43</v>
      </c>
      <c r="D767" t="str">
        <f>CONCATENATE("0040025028","")</f>
        <v>0040025028</v>
      </c>
      <c r="E767" t="str">
        <f>CONCATENATE("0500793000080       ","")</f>
        <v>0500793000080       </v>
      </c>
      <c r="F767" t="str">
        <f>CONCATENATE("983072100991","")</f>
        <v>983072100991</v>
      </c>
      <c r="G767" t="s">
        <v>1641</v>
      </c>
      <c r="H767" t="s">
        <v>1646</v>
      </c>
      <c r="I767" t="s">
        <v>1643</v>
      </c>
      <c r="J767" t="str">
        <f t="shared" si="82"/>
        <v>080502</v>
      </c>
      <c r="K767" t="s">
        <v>22</v>
      </c>
      <c r="L767" t="s">
        <v>23</v>
      </c>
      <c r="M767" t="str">
        <f t="shared" si="81"/>
        <v>1</v>
      </c>
      <c r="O767" t="str">
        <f>CONCATENATE("1 ","")</f>
        <v>1 </v>
      </c>
      <c r="P767">
        <v>22.6</v>
      </c>
      <c r="Q767" t="s">
        <v>24</v>
      </c>
    </row>
    <row r="768" spans="1:17" ht="15">
      <c r="A768" t="s">
        <v>17</v>
      </c>
      <c r="B768" s="1">
        <v>41831</v>
      </c>
      <c r="C768" t="s">
        <v>18</v>
      </c>
      <c r="D768" t="str">
        <f>CONCATENATE("0040025030","")</f>
        <v>0040025030</v>
      </c>
      <c r="E768" t="str">
        <f>CONCATENATE("0500793000180       ","")</f>
        <v>0500793000180       </v>
      </c>
      <c r="F768" t="str">
        <f>CONCATENATE("983072100989","")</f>
        <v>983072100989</v>
      </c>
      <c r="G768" t="s">
        <v>1641</v>
      </c>
      <c r="H768" t="s">
        <v>1647</v>
      </c>
      <c r="I768" t="s">
        <v>1643</v>
      </c>
      <c r="J768" t="str">
        <f>CONCATENATE("080503","")</f>
        <v>080503</v>
      </c>
      <c r="K768" t="s">
        <v>22</v>
      </c>
      <c r="L768" t="s">
        <v>23</v>
      </c>
      <c r="M768" t="str">
        <f t="shared" si="81"/>
        <v>1</v>
      </c>
      <c r="O768" t="str">
        <f>CONCATENATE("1 ","")</f>
        <v>1 </v>
      </c>
      <c r="P768">
        <v>13.55</v>
      </c>
      <c r="Q768" t="s">
        <v>24</v>
      </c>
    </row>
    <row r="769" spans="1:17" ht="15">
      <c r="A769" t="s">
        <v>17</v>
      </c>
      <c r="B769" s="1">
        <v>41831</v>
      </c>
      <c r="C769" t="s">
        <v>191</v>
      </c>
      <c r="D769" t="str">
        <f>CONCATENATE("0040026005","")</f>
        <v>0040026005</v>
      </c>
      <c r="E769" t="str">
        <f>CONCATENATE("0600101000130       ","")</f>
        <v>0600101000130       </v>
      </c>
      <c r="F769" t="str">
        <f>CONCATENATE("1235000","")</f>
        <v>1235000</v>
      </c>
      <c r="G769" t="s">
        <v>1648</v>
      </c>
      <c r="H769" t="s">
        <v>1649</v>
      </c>
      <c r="I769" t="s">
        <v>1650</v>
      </c>
      <c r="J769" t="str">
        <f aca="true" t="shared" si="85" ref="J769:J805">CONCATENATE("080601","")</f>
        <v>080601</v>
      </c>
      <c r="K769" t="s">
        <v>22</v>
      </c>
      <c r="L769" t="s">
        <v>23</v>
      </c>
      <c r="M769" t="str">
        <f t="shared" si="81"/>
        <v>1</v>
      </c>
      <c r="O769" t="str">
        <f>CONCATENATE("7 ","")</f>
        <v>7 </v>
      </c>
      <c r="P769">
        <v>52.3</v>
      </c>
      <c r="Q769" t="s">
        <v>24</v>
      </c>
    </row>
    <row r="770" spans="1:17" ht="15">
      <c r="A770" t="s">
        <v>17</v>
      </c>
      <c r="B770" s="1">
        <v>41831</v>
      </c>
      <c r="C770" t="s">
        <v>191</v>
      </c>
      <c r="D770" t="str">
        <f>CONCATENATE("0040026010","")</f>
        <v>0040026010</v>
      </c>
      <c r="E770" t="str">
        <f>CONCATENATE("0600101000190       ","")</f>
        <v>0600101000190       </v>
      </c>
      <c r="F770" t="str">
        <f>CONCATENATE("1235020","")</f>
        <v>1235020</v>
      </c>
      <c r="G770" t="s">
        <v>1648</v>
      </c>
      <c r="H770" t="s">
        <v>1651</v>
      </c>
      <c r="I770" t="s">
        <v>1650</v>
      </c>
      <c r="J770" t="str">
        <f t="shared" si="85"/>
        <v>080601</v>
      </c>
      <c r="K770" t="s">
        <v>22</v>
      </c>
      <c r="L770" t="s">
        <v>23</v>
      </c>
      <c r="M770" t="str">
        <f t="shared" si="81"/>
        <v>1</v>
      </c>
      <c r="O770" t="str">
        <f>CONCATENATE("1 ","")</f>
        <v>1 </v>
      </c>
      <c r="P770">
        <v>23.8</v>
      </c>
      <c r="Q770" t="s">
        <v>24</v>
      </c>
    </row>
    <row r="771" spans="1:17" ht="15">
      <c r="A771" t="s">
        <v>17</v>
      </c>
      <c r="B771" s="1">
        <v>41831</v>
      </c>
      <c r="C771" t="s">
        <v>191</v>
      </c>
      <c r="D771" t="str">
        <f>CONCATENATE("0040026020","")</f>
        <v>0040026020</v>
      </c>
      <c r="E771" t="str">
        <f>CONCATENATE("0600101000290       ","")</f>
        <v>0600101000290       </v>
      </c>
      <c r="F771" t="str">
        <f>CONCATENATE("1235161","")</f>
        <v>1235161</v>
      </c>
      <c r="G771" t="s">
        <v>1648</v>
      </c>
      <c r="H771" t="s">
        <v>1652</v>
      </c>
      <c r="I771" t="s">
        <v>1650</v>
      </c>
      <c r="J771" t="str">
        <f t="shared" si="85"/>
        <v>080601</v>
      </c>
      <c r="K771" t="s">
        <v>22</v>
      </c>
      <c r="L771" t="s">
        <v>23</v>
      </c>
      <c r="M771" t="str">
        <f t="shared" si="81"/>
        <v>1</v>
      </c>
      <c r="O771" t="str">
        <f>CONCATENATE("1 ","")</f>
        <v>1 </v>
      </c>
      <c r="P771">
        <v>13.95</v>
      </c>
      <c r="Q771" t="s">
        <v>24</v>
      </c>
    </row>
    <row r="772" spans="1:17" ht="15">
      <c r="A772" t="s">
        <v>17</v>
      </c>
      <c r="B772" s="1">
        <v>41831</v>
      </c>
      <c r="C772" t="s">
        <v>191</v>
      </c>
      <c r="D772" t="str">
        <f>CONCATENATE("0040026025","")</f>
        <v>0040026025</v>
      </c>
      <c r="E772" t="str">
        <f>CONCATENATE("0600101000340       ","")</f>
        <v>0600101000340       </v>
      </c>
      <c r="F772" t="str">
        <f>CONCATENATE("1235149","")</f>
        <v>1235149</v>
      </c>
      <c r="G772" t="s">
        <v>1648</v>
      </c>
      <c r="H772" t="s">
        <v>1653</v>
      </c>
      <c r="I772" t="s">
        <v>1650</v>
      </c>
      <c r="J772" t="str">
        <f t="shared" si="85"/>
        <v>080601</v>
      </c>
      <c r="K772" t="s">
        <v>22</v>
      </c>
      <c r="L772" t="s">
        <v>23</v>
      </c>
      <c r="M772" t="str">
        <f t="shared" si="81"/>
        <v>1</v>
      </c>
      <c r="O772" t="str">
        <f>CONCATENATE("1 ","")</f>
        <v>1 </v>
      </c>
      <c r="P772">
        <v>13.2</v>
      </c>
      <c r="Q772" t="s">
        <v>24</v>
      </c>
    </row>
    <row r="773" spans="1:17" ht="15">
      <c r="A773" t="s">
        <v>17</v>
      </c>
      <c r="B773" s="1">
        <v>41831</v>
      </c>
      <c r="C773" t="s">
        <v>191</v>
      </c>
      <c r="D773" t="str">
        <f>CONCATENATE("0040026214","")</f>
        <v>0040026214</v>
      </c>
      <c r="E773" t="str">
        <f>CONCATENATE("0600110000110       ","")</f>
        <v>0600110000110       </v>
      </c>
      <c r="F773" t="str">
        <f>CONCATENATE("1235238","")</f>
        <v>1235238</v>
      </c>
      <c r="G773" t="s">
        <v>1654</v>
      </c>
      <c r="H773" t="s">
        <v>1655</v>
      </c>
      <c r="I773" t="s">
        <v>1656</v>
      </c>
      <c r="J773" t="str">
        <f t="shared" si="85"/>
        <v>080601</v>
      </c>
      <c r="K773" t="s">
        <v>22</v>
      </c>
      <c r="L773" t="s">
        <v>23</v>
      </c>
      <c r="M773" t="str">
        <f t="shared" si="81"/>
        <v>1</v>
      </c>
      <c r="O773" t="str">
        <f>CONCATENATE("2 ","")</f>
        <v>2 </v>
      </c>
      <c r="P773">
        <v>19.3</v>
      </c>
      <c r="Q773" t="s">
        <v>24</v>
      </c>
    </row>
    <row r="774" spans="1:17" ht="15">
      <c r="A774" t="s">
        <v>17</v>
      </c>
      <c r="B774" s="1">
        <v>41831</v>
      </c>
      <c r="C774" t="s">
        <v>191</v>
      </c>
      <c r="D774" t="str">
        <f>CONCATENATE("0040026217","")</f>
        <v>0040026217</v>
      </c>
      <c r="E774" t="str">
        <f>CONCATENATE("0600110000140       ","")</f>
        <v>0600110000140       </v>
      </c>
      <c r="F774" t="str">
        <f>CONCATENATE("1235239","")</f>
        <v>1235239</v>
      </c>
      <c r="G774" t="s">
        <v>1654</v>
      </c>
      <c r="H774" t="s">
        <v>1657</v>
      </c>
      <c r="I774" t="s">
        <v>1656</v>
      </c>
      <c r="J774" t="str">
        <f t="shared" si="85"/>
        <v>080601</v>
      </c>
      <c r="K774" t="s">
        <v>22</v>
      </c>
      <c r="L774" t="s">
        <v>23</v>
      </c>
      <c r="M774" t="str">
        <f aca="true" t="shared" si="86" ref="M774:M805">CONCATENATE("1","")</f>
        <v>1</v>
      </c>
      <c r="O774" t="str">
        <f>CONCATENATE("6 ","")</f>
        <v>6 </v>
      </c>
      <c r="P774">
        <v>45.75</v>
      </c>
      <c r="Q774" t="s">
        <v>24</v>
      </c>
    </row>
    <row r="775" spans="1:17" ht="15">
      <c r="A775" t="s">
        <v>17</v>
      </c>
      <c r="B775" s="1">
        <v>41831</v>
      </c>
      <c r="C775" t="s">
        <v>191</v>
      </c>
      <c r="D775" t="str">
        <f>CONCATENATE("0040026218","")</f>
        <v>0040026218</v>
      </c>
      <c r="E775" t="str">
        <f>CONCATENATE("0600110000150       ","")</f>
        <v>0600110000150       </v>
      </c>
      <c r="F775" t="str">
        <f>CONCATENATE("1235219","")</f>
        <v>1235219</v>
      </c>
      <c r="G775" t="s">
        <v>1654</v>
      </c>
      <c r="H775" t="s">
        <v>1658</v>
      </c>
      <c r="I775" t="s">
        <v>1656</v>
      </c>
      <c r="J775" t="str">
        <f t="shared" si="85"/>
        <v>080601</v>
      </c>
      <c r="K775" t="s">
        <v>22</v>
      </c>
      <c r="L775" t="s">
        <v>23</v>
      </c>
      <c r="M775" t="str">
        <f t="shared" si="86"/>
        <v>1</v>
      </c>
      <c r="O775" t="str">
        <f>CONCATENATE("6 ","")</f>
        <v>6 </v>
      </c>
      <c r="P775">
        <v>46.8</v>
      </c>
      <c r="Q775" t="s">
        <v>24</v>
      </c>
    </row>
    <row r="776" spans="1:17" ht="15">
      <c r="A776" t="s">
        <v>17</v>
      </c>
      <c r="B776" s="1">
        <v>41831</v>
      </c>
      <c r="C776" t="s">
        <v>191</v>
      </c>
      <c r="D776" t="str">
        <f>CONCATENATE("0040026222","")</f>
        <v>0040026222</v>
      </c>
      <c r="E776" t="str">
        <f>CONCATENATE("0600110000190       ","")</f>
        <v>0600110000190       </v>
      </c>
      <c r="F776" t="str">
        <f>CONCATENATE("1235225","")</f>
        <v>1235225</v>
      </c>
      <c r="G776" t="s">
        <v>1654</v>
      </c>
      <c r="H776" t="s">
        <v>1659</v>
      </c>
      <c r="I776" t="s">
        <v>1656</v>
      </c>
      <c r="J776" t="str">
        <f t="shared" si="85"/>
        <v>080601</v>
      </c>
      <c r="K776" t="s">
        <v>22</v>
      </c>
      <c r="L776" t="s">
        <v>23</v>
      </c>
      <c r="M776" t="str">
        <f t="shared" si="86"/>
        <v>1</v>
      </c>
      <c r="O776" t="str">
        <f>CONCATENATE("1 ","")</f>
        <v>1 </v>
      </c>
      <c r="P776">
        <v>12.85</v>
      </c>
      <c r="Q776" t="s">
        <v>24</v>
      </c>
    </row>
    <row r="777" spans="1:17" ht="15">
      <c r="A777" t="s">
        <v>17</v>
      </c>
      <c r="B777" s="1">
        <v>41831</v>
      </c>
      <c r="C777" t="s">
        <v>191</v>
      </c>
      <c r="D777" t="str">
        <f>CONCATENATE("0040026166","")</f>
        <v>0040026166</v>
      </c>
      <c r="E777" t="str">
        <f>CONCATENATE("0600120000030       ","")</f>
        <v>0600120000030       </v>
      </c>
      <c r="F777" t="str">
        <f>CONCATENATE("1235231","")</f>
        <v>1235231</v>
      </c>
      <c r="G777" t="s">
        <v>1660</v>
      </c>
      <c r="H777" t="s">
        <v>1661</v>
      </c>
      <c r="I777" t="s">
        <v>1662</v>
      </c>
      <c r="J777" t="str">
        <f t="shared" si="85"/>
        <v>080601</v>
      </c>
      <c r="K777" t="s">
        <v>22</v>
      </c>
      <c r="L777" t="s">
        <v>23</v>
      </c>
      <c r="M777" t="str">
        <f t="shared" si="86"/>
        <v>1</v>
      </c>
      <c r="O777" t="str">
        <f>CONCATENATE("1 ","")</f>
        <v>1 </v>
      </c>
      <c r="P777">
        <v>14.25</v>
      </c>
      <c r="Q777" t="s">
        <v>24</v>
      </c>
    </row>
    <row r="778" spans="1:17" ht="15">
      <c r="A778" t="s">
        <v>17</v>
      </c>
      <c r="B778" s="1">
        <v>41831</v>
      </c>
      <c r="C778" t="s">
        <v>191</v>
      </c>
      <c r="D778" t="str">
        <f>CONCATENATE("0040026171","")</f>
        <v>0040026171</v>
      </c>
      <c r="E778" t="str">
        <f>CONCATENATE("0600120000070       ","")</f>
        <v>0600120000070       </v>
      </c>
      <c r="F778" t="str">
        <f>CONCATENATE("1235271","")</f>
        <v>1235271</v>
      </c>
      <c r="G778" t="s">
        <v>1660</v>
      </c>
      <c r="H778" t="s">
        <v>1663</v>
      </c>
      <c r="I778" t="s">
        <v>1662</v>
      </c>
      <c r="J778" t="str">
        <f t="shared" si="85"/>
        <v>080601</v>
      </c>
      <c r="K778" t="s">
        <v>22</v>
      </c>
      <c r="L778" t="s">
        <v>23</v>
      </c>
      <c r="M778" t="str">
        <f t="shared" si="86"/>
        <v>1</v>
      </c>
      <c r="O778" t="str">
        <f>CONCATENATE("2 ","")</f>
        <v>2 </v>
      </c>
      <c r="P778">
        <v>19.3</v>
      </c>
      <c r="Q778" t="s">
        <v>24</v>
      </c>
    </row>
    <row r="779" spans="1:17" ht="15">
      <c r="A779" t="s">
        <v>17</v>
      </c>
      <c r="B779" s="1">
        <v>41831</v>
      </c>
      <c r="C779" t="s">
        <v>191</v>
      </c>
      <c r="D779" t="str">
        <f>CONCATENATE("0040026173","")</f>
        <v>0040026173</v>
      </c>
      <c r="E779" t="str">
        <f>CONCATENATE("0600120000090       ","")</f>
        <v>0600120000090       </v>
      </c>
      <c r="F779" t="str">
        <f>CONCATENATE("1234968","")</f>
        <v>1234968</v>
      </c>
      <c r="G779" t="s">
        <v>1660</v>
      </c>
      <c r="H779" t="s">
        <v>1664</v>
      </c>
      <c r="I779" t="s">
        <v>1662</v>
      </c>
      <c r="J779" t="str">
        <f t="shared" si="85"/>
        <v>080601</v>
      </c>
      <c r="K779" t="s">
        <v>22</v>
      </c>
      <c r="L779" t="s">
        <v>23</v>
      </c>
      <c r="M779" t="str">
        <f t="shared" si="86"/>
        <v>1</v>
      </c>
      <c r="O779" t="str">
        <f>CONCATENATE("2 ","")</f>
        <v>2 </v>
      </c>
      <c r="P779">
        <v>19.35</v>
      </c>
      <c r="Q779" t="s">
        <v>24</v>
      </c>
    </row>
    <row r="780" spans="1:17" ht="15">
      <c r="A780" t="s">
        <v>17</v>
      </c>
      <c r="B780" s="1">
        <v>41831</v>
      </c>
      <c r="C780" t="s">
        <v>191</v>
      </c>
      <c r="D780" t="str">
        <f>CONCATENATE("0040026175","")</f>
        <v>0040026175</v>
      </c>
      <c r="E780" t="str">
        <f>CONCATENATE("0600120000110       ","")</f>
        <v>0600120000110       </v>
      </c>
      <c r="F780" t="str">
        <f>CONCATENATE("1236639","")</f>
        <v>1236639</v>
      </c>
      <c r="G780" t="s">
        <v>1660</v>
      </c>
      <c r="H780" t="s">
        <v>1665</v>
      </c>
      <c r="I780" t="s">
        <v>1662</v>
      </c>
      <c r="J780" t="str">
        <f t="shared" si="85"/>
        <v>080601</v>
      </c>
      <c r="K780" t="s">
        <v>22</v>
      </c>
      <c r="L780" t="s">
        <v>23</v>
      </c>
      <c r="M780" t="str">
        <f t="shared" si="86"/>
        <v>1</v>
      </c>
      <c r="O780" t="str">
        <f>CONCATENATE("1 ","")</f>
        <v>1 </v>
      </c>
      <c r="P780">
        <v>13.6</v>
      </c>
      <c r="Q780" t="s">
        <v>24</v>
      </c>
    </row>
    <row r="781" spans="1:17" ht="15">
      <c r="A781" t="s">
        <v>17</v>
      </c>
      <c r="B781" s="1">
        <v>41831</v>
      </c>
      <c r="C781" t="s">
        <v>191</v>
      </c>
      <c r="D781" t="str">
        <f>CONCATENATE("0040026181","")</f>
        <v>0040026181</v>
      </c>
      <c r="E781" t="str">
        <f>CONCATENATE("0600120000150       ","")</f>
        <v>0600120000150       </v>
      </c>
      <c r="F781" t="str">
        <f>CONCATENATE("1236636","")</f>
        <v>1236636</v>
      </c>
      <c r="G781" t="s">
        <v>1660</v>
      </c>
      <c r="H781" t="s">
        <v>1666</v>
      </c>
      <c r="I781" t="s">
        <v>1662</v>
      </c>
      <c r="J781" t="str">
        <f t="shared" si="85"/>
        <v>080601</v>
      </c>
      <c r="K781" t="s">
        <v>22</v>
      </c>
      <c r="L781" t="s">
        <v>23</v>
      </c>
      <c r="M781" t="str">
        <f t="shared" si="86"/>
        <v>1</v>
      </c>
      <c r="O781" t="str">
        <f>CONCATENATE("1 ","")</f>
        <v>1 </v>
      </c>
      <c r="P781">
        <v>25.15</v>
      </c>
      <c r="Q781" t="s">
        <v>24</v>
      </c>
    </row>
    <row r="782" spans="1:17" ht="15">
      <c r="A782" t="s">
        <v>17</v>
      </c>
      <c r="B782" s="1">
        <v>41831</v>
      </c>
      <c r="C782" t="s">
        <v>191</v>
      </c>
      <c r="D782" t="str">
        <f>CONCATENATE("0040026182","")</f>
        <v>0040026182</v>
      </c>
      <c r="E782" t="str">
        <f>CONCATENATE("0600120000180       ","")</f>
        <v>0600120000180       </v>
      </c>
      <c r="F782" t="str">
        <f>CONCATENATE("1234971","")</f>
        <v>1234971</v>
      </c>
      <c r="G782" t="s">
        <v>1660</v>
      </c>
      <c r="H782" t="s">
        <v>1667</v>
      </c>
      <c r="I782" t="s">
        <v>1662</v>
      </c>
      <c r="J782" t="str">
        <f t="shared" si="85"/>
        <v>080601</v>
      </c>
      <c r="K782" t="s">
        <v>22</v>
      </c>
      <c r="L782" t="s">
        <v>23</v>
      </c>
      <c r="M782" t="str">
        <f t="shared" si="86"/>
        <v>1</v>
      </c>
      <c r="O782" t="str">
        <f>CONCATENATE("1 ","")</f>
        <v>1 </v>
      </c>
      <c r="P782">
        <v>15.35</v>
      </c>
      <c r="Q782" t="s">
        <v>24</v>
      </c>
    </row>
    <row r="783" spans="1:17" ht="15">
      <c r="A783" t="s">
        <v>17</v>
      </c>
      <c r="B783" s="1">
        <v>41831</v>
      </c>
      <c r="C783" t="s">
        <v>191</v>
      </c>
      <c r="D783" t="str">
        <f>CONCATENATE("0040026186","")</f>
        <v>0040026186</v>
      </c>
      <c r="E783" t="str">
        <f>CONCATENATE("0600121000190       ","")</f>
        <v>0600121000190       </v>
      </c>
      <c r="F783" t="str">
        <f>CONCATENATE("1235028","")</f>
        <v>1235028</v>
      </c>
      <c r="G783" t="s">
        <v>1668</v>
      </c>
      <c r="H783" t="s">
        <v>1669</v>
      </c>
      <c r="I783" t="s">
        <v>1670</v>
      </c>
      <c r="J783" t="str">
        <f t="shared" si="85"/>
        <v>080601</v>
      </c>
      <c r="K783" t="s">
        <v>22</v>
      </c>
      <c r="L783" t="s">
        <v>23</v>
      </c>
      <c r="M783" t="str">
        <f t="shared" si="86"/>
        <v>1</v>
      </c>
      <c r="O783" t="str">
        <f>CONCATENATE("1 ","")</f>
        <v>1 </v>
      </c>
      <c r="P783">
        <v>12.8</v>
      </c>
      <c r="Q783" t="s">
        <v>24</v>
      </c>
    </row>
    <row r="784" spans="1:17" ht="15">
      <c r="A784" t="s">
        <v>17</v>
      </c>
      <c r="B784" s="1">
        <v>41831</v>
      </c>
      <c r="C784" t="s">
        <v>191</v>
      </c>
      <c r="D784" t="str">
        <f>CONCATENATE("0040026063","")</f>
        <v>0040026063</v>
      </c>
      <c r="E784" t="str">
        <f>CONCATENATE("0600130000100       ","")</f>
        <v>0600130000100       </v>
      </c>
      <c r="F784" t="str">
        <f>CONCATENATE("1234954","")</f>
        <v>1234954</v>
      </c>
      <c r="G784" t="s">
        <v>1671</v>
      </c>
      <c r="H784" t="s">
        <v>1672</v>
      </c>
      <c r="I784" t="s">
        <v>1673</v>
      </c>
      <c r="J784" t="str">
        <f t="shared" si="85"/>
        <v>080601</v>
      </c>
      <c r="K784" t="s">
        <v>22</v>
      </c>
      <c r="L784" t="s">
        <v>23</v>
      </c>
      <c r="M784" t="str">
        <f t="shared" si="86"/>
        <v>1</v>
      </c>
      <c r="O784" t="str">
        <f>CONCATENATE("2 ","")</f>
        <v>2 </v>
      </c>
      <c r="P784">
        <v>20.85</v>
      </c>
      <c r="Q784" t="s">
        <v>24</v>
      </c>
    </row>
    <row r="785" spans="1:17" ht="15">
      <c r="A785" t="s">
        <v>17</v>
      </c>
      <c r="B785" s="1">
        <v>41831</v>
      </c>
      <c r="C785" t="s">
        <v>191</v>
      </c>
      <c r="D785" t="str">
        <f>CONCATENATE("0040026064","")</f>
        <v>0040026064</v>
      </c>
      <c r="E785" t="str">
        <f>CONCATENATE("0600130000110       ","")</f>
        <v>0600130000110       </v>
      </c>
      <c r="F785" t="str">
        <f>CONCATENATE("1234953","")</f>
        <v>1234953</v>
      </c>
      <c r="G785" t="s">
        <v>1671</v>
      </c>
      <c r="H785" t="s">
        <v>1674</v>
      </c>
      <c r="I785" t="s">
        <v>1673</v>
      </c>
      <c r="J785" t="str">
        <f t="shared" si="85"/>
        <v>080601</v>
      </c>
      <c r="K785" t="s">
        <v>22</v>
      </c>
      <c r="L785" t="s">
        <v>23</v>
      </c>
      <c r="M785" t="str">
        <f t="shared" si="86"/>
        <v>1</v>
      </c>
      <c r="O785" t="str">
        <f>CONCATENATE("2 ","")</f>
        <v>2 </v>
      </c>
      <c r="P785">
        <v>23.65</v>
      </c>
      <c r="Q785" t="s">
        <v>24</v>
      </c>
    </row>
    <row r="786" spans="1:17" ht="15">
      <c r="A786" t="s">
        <v>17</v>
      </c>
      <c r="B786" s="1">
        <v>41831</v>
      </c>
      <c r="C786" t="s">
        <v>191</v>
      </c>
      <c r="D786" t="str">
        <f>CONCATENATE("0040026070","")</f>
        <v>0040026070</v>
      </c>
      <c r="E786" t="str">
        <f>CONCATENATE("0600130000170       ","")</f>
        <v>0600130000170       </v>
      </c>
      <c r="F786" t="str">
        <f>CONCATENATE("1234966","")</f>
        <v>1234966</v>
      </c>
      <c r="G786" t="s">
        <v>1671</v>
      </c>
      <c r="H786" t="s">
        <v>1675</v>
      </c>
      <c r="I786" t="s">
        <v>1673</v>
      </c>
      <c r="J786" t="str">
        <f t="shared" si="85"/>
        <v>080601</v>
      </c>
      <c r="K786" t="s">
        <v>22</v>
      </c>
      <c r="L786" t="s">
        <v>23</v>
      </c>
      <c r="M786" t="str">
        <f t="shared" si="86"/>
        <v>1</v>
      </c>
      <c r="O786" t="str">
        <f>CONCATENATE("7 ","")</f>
        <v>7 </v>
      </c>
      <c r="P786">
        <v>70.9</v>
      </c>
      <c r="Q786" t="s">
        <v>24</v>
      </c>
    </row>
    <row r="787" spans="1:17" ht="15">
      <c r="A787" t="s">
        <v>17</v>
      </c>
      <c r="B787" s="1">
        <v>41831</v>
      </c>
      <c r="C787" t="s">
        <v>191</v>
      </c>
      <c r="D787" t="str">
        <f>CONCATENATE("0040026133","")</f>
        <v>0040026133</v>
      </c>
      <c r="E787" t="str">
        <f>CONCATENATE("0600131000020       ","")</f>
        <v>0600131000020       </v>
      </c>
      <c r="F787" t="str">
        <f>CONCATENATE("1235040","")</f>
        <v>1235040</v>
      </c>
      <c r="G787" t="s">
        <v>1676</v>
      </c>
      <c r="H787" t="s">
        <v>1677</v>
      </c>
      <c r="I787" t="s">
        <v>1678</v>
      </c>
      <c r="J787" t="str">
        <f t="shared" si="85"/>
        <v>080601</v>
      </c>
      <c r="K787" t="s">
        <v>22</v>
      </c>
      <c r="L787" t="s">
        <v>23</v>
      </c>
      <c r="M787" t="str">
        <f t="shared" si="86"/>
        <v>1</v>
      </c>
      <c r="O787" t="str">
        <f>CONCATENATE("2 ","")</f>
        <v>2 </v>
      </c>
      <c r="P787">
        <v>19.35</v>
      </c>
      <c r="Q787" t="s">
        <v>24</v>
      </c>
    </row>
    <row r="788" spans="1:17" ht="15">
      <c r="A788" t="s">
        <v>17</v>
      </c>
      <c r="B788" s="1">
        <v>41831</v>
      </c>
      <c r="C788" t="s">
        <v>191</v>
      </c>
      <c r="D788" t="str">
        <f>CONCATENATE("0040026131","")</f>
        <v>0040026131</v>
      </c>
      <c r="E788" t="str">
        <f>CONCATENATE("0600131000040       ","")</f>
        <v>0600131000040       </v>
      </c>
      <c r="F788" t="str">
        <f>CONCATENATE("1234960","")</f>
        <v>1234960</v>
      </c>
      <c r="G788" t="s">
        <v>1676</v>
      </c>
      <c r="H788" t="s">
        <v>1679</v>
      </c>
      <c r="I788" t="s">
        <v>1678</v>
      </c>
      <c r="J788" t="str">
        <f t="shared" si="85"/>
        <v>080601</v>
      </c>
      <c r="K788" t="s">
        <v>22</v>
      </c>
      <c r="L788" t="s">
        <v>23</v>
      </c>
      <c r="M788" t="str">
        <f t="shared" si="86"/>
        <v>1</v>
      </c>
      <c r="O788" t="str">
        <f>CONCATENATE("2 ","")</f>
        <v>2 </v>
      </c>
      <c r="P788">
        <v>24.35</v>
      </c>
      <c r="Q788" t="s">
        <v>24</v>
      </c>
    </row>
    <row r="789" spans="1:17" ht="15">
      <c r="A789" t="s">
        <v>17</v>
      </c>
      <c r="B789" s="1">
        <v>41831</v>
      </c>
      <c r="C789" t="s">
        <v>191</v>
      </c>
      <c r="D789" t="str">
        <f>CONCATENATE("0040026046","")</f>
        <v>0040026046</v>
      </c>
      <c r="E789" t="str">
        <f>CONCATENATE("0600132000060       ","")</f>
        <v>0600132000060       </v>
      </c>
      <c r="F789" t="str">
        <f>CONCATENATE("1235077","")</f>
        <v>1235077</v>
      </c>
      <c r="G789" t="s">
        <v>1680</v>
      </c>
      <c r="H789" t="s">
        <v>1681</v>
      </c>
      <c r="I789" t="s">
        <v>1682</v>
      </c>
      <c r="J789" t="str">
        <f t="shared" si="85"/>
        <v>080601</v>
      </c>
      <c r="K789" t="s">
        <v>22</v>
      </c>
      <c r="L789" t="s">
        <v>23</v>
      </c>
      <c r="M789" t="str">
        <f t="shared" si="86"/>
        <v>1</v>
      </c>
      <c r="O789" t="str">
        <f>CONCATENATE("1 ","")</f>
        <v>1 </v>
      </c>
      <c r="P789">
        <v>13.7</v>
      </c>
      <c r="Q789" t="s">
        <v>24</v>
      </c>
    </row>
    <row r="790" spans="1:17" ht="15">
      <c r="A790" t="s">
        <v>17</v>
      </c>
      <c r="B790" s="1">
        <v>41831</v>
      </c>
      <c r="C790" t="s">
        <v>191</v>
      </c>
      <c r="D790" t="str">
        <f>CONCATENATE("0040026049","")</f>
        <v>0040026049</v>
      </c>
      <c r="E790" t="str">
        <f>CONCATENATE("0600132000090       ","")</f>
        <v>0600132000090       </v>
      </c>
      <c r="F790" t="str">
        <f>CONCATENATE("1235086","")</f>
        <v>1235086</v>
      </c>
      <c r="G790" t="s">
        <v>1680</v>
      </c>
      <c r="H790" t="s">
        <v>1683</v>
      </c>
      <c r="I790" t="s">
        <v>1682</v>
      </c>
      <c r="J790" t="str">
        <f t="shared" si="85"/>
        <v>080601</v>
      </c>
      <c r="K790" t="s">
        <v>22</v>
      </c>
      <c r="L790" t="s">
        <v>23</v>
      </c>
      <c r="M790" t="str">
        <f t="shared" si="86"/>
        <v>1</v>
      </c>
      <c r="O790" t="str">
        <f>CONCATENATE("1 ","")</f>
        <v>1 </v>
      </c>
      <c r="P790">
        <v>12.9</v>
      </c>
      <c r="Q790" t="s">
        <v>24</v>
      </c>
    </row>
    <row r="791" spans="1:17" ht="15">
      <c r="A791" t="s">
        <v>17</v>
      </c>
      <c r="B791" s="1">
        <v>41831</v>
      </c>
      <c r="C791" t="s">
        <v>191</v>
      </c>
      <c r="D791" t="str">
        <f>CONCATENATE("0040026050","")</f>
        <v>0040026050</v>
      </c>
      <c r="E791" t="str">
        <f>CONCATENATE("0600132000100       ","")</f>
        <v>0600132000100       </v>
      </c>
      <c r="F791" t="str">
        <f>CONCATENATE("1235078","")</f>
        <v>1235078</v>
      </c>
      <c r="G791" t="s">
        <v>1680</v>
      </c>
      <c r="H791" t="s">
        <v>1684</v>
      </c>
      <c r="I791" t="s">
        <v>1682</v>
      </c>
      <c r="J791" t="str">
        <f t="shared" si="85"/>
        <v>080601</v>
      </c>
      <c r="K791" t="s">
        <v>22</v>
      </c>
      <c r="L791" t="s">
        <v>23</v>
      </c>
      <c r="M791" t="str">
        <f t="shared" si="86"/>
        <v>1</v>
      </c>
      <c r="O791" t="str">
        <f>CONCATENATE("7 ","")</f>
        <v>7 </v>
      </c>
      <c r="P791">
        <v>52.3</v>
      </c>
      <c r="Q791" t="s">
        <v>24</v>
      </c>
    </row>
    <row r="792" spans="1:17" ht="15">
      <c r="A792" t="s">
        <v>17</v>
      </c>
      <c r="B792" s="1">
        <v>41831</v>
      </c>
      <c r="C792" t="s">
        <v>191</v>
      </c>
      <c r="D792" t="str">
        <f>CONCATENATE("0040026028","")</f>
        <v>0040026028</v>
      </c>
      <c r="E792" t="str">
        <f>CONCATENATE("0600132000230       ","")</f>
        <v>0600132000230       </v>
      </c>
      <c r="F792" t="str">
        <f>CONCATENATE("1235079","")</f>
        <v>1235079</v>
      </c>
      <c r="G792" t="s">
        <v>1680</v>
      </c>
      <c r="H792" t="s">
        <v>1685</v>
      </c>
      <c r="I792" t="s">
        <v>1682</v>
      </c>
      <c r="J792" t="str">
        <f t="shared" si="85"/>
        <v>080601</v>
      </c>
      <c r="K792" t="s">
        <v>22</v>
      </c>
      <c r="L792" t="s">
        <v>23</v>
      </c>
      <c r="M792" t="str">
        <f t="shared" si="86"/>
        <v>1</v>
      </c>
      <c r="O792" t="str">
        <f>CONCATENATE("1 ","")</f>
        <v>1 </v>
      </c>
      <c r="P792">
        <v>24.15</v>
      </c>
      <c r="Q792" t="s">
        <v>24</v>
      </c>
    </row>
    <row r="793" spans="1:17" ht="15">
      <c r="A793" t="s">
        <v>17</v>
      </c>
      <c r="B793" s="1">
        <v>41831</v>
      </c>
      <c r="C793" t="s">
        <v>191</v>
      </c>
      <c r="D793" t="str">
        <f>CONCATENATE("0040026119","")</f>
        <v>0040026119</v>
      </c>
      <c r="E793" t="str">
        <f>CONCATENATE("0600133000100       ","")</f>
        <v>0600133000100       </v>
      </c>
      <c r="F793" t="str">
        <f>CONCATENATE("1235269","")</f>
        <v>1235269</v>
      </c>
      <c r="G793" t="s">
        <v>1686</v>
      </c>
      <c r="H793" t="s">
        <v>1687</v>
      </c>
      <c r="I793" t="s">
        <v>1688</v>
      </c>
      <c r="J793" t="str">
        <f t="shared" si="85"/>
        <v>080601</v>
      </c>
      <c r="K793" t="s">
        <v>22</v>
      </c>
      <c r="L793" t="s">
        <v>23</v>
      </c>
      <c r="M793" t="str">
        <f t="shared" si="86"/>
        <v>1</v>
      </c>
      <c r="O793" t="str">
        <f>CONCATENATE("1 ","")</f>
        <v>1 </v>
      </c>
      <c r="P793">
        <v>14.7</v>
      </c>
      <c r="Q793" t="s">
        <v>24</v>
      </c>
    </row>
    <row r="794" spans="1:17" ht="15">
      <c r="A794" t="s">
        <v>17</v>
      </c>
      <c r="B794" s="1">
        <v>41831</v>
      </c>
      <c r="C794" t="s">
        <v>191</v>
      </c>
      <c r="D794" t="str">
        <f>CONCATENATE("0040026121","")</f>
        <v>0040026121</v>
      </c>
      <c r="E794" t="str">
        <f>CONCATENATE("0600133000120       ","")</f>
        <v>0600133000120       </v>
      </c>
      <c r="F794" t="str">
        <f>CONCATENATE("1235217","")</f>
        <v>1235217</v>
      </c>
      <c r="G794" t="s">
        <v>1686</v>
      </c>
      <c r="H794" t="s">
        <v>1689</v>
      </c>
      <c r="I794" t="s">
        <v>1688</v>
      </c>
      <c r="J794" t="str">
        <f t="shared" si="85"/>
        <v>080601</v>
      </c>
      <c r="K794" t="s">
        <v>22</v>
      </c>
      <c r="L794" t="s">
        <v>23</v>
      </c>
      <c r="M794" t="str">
        <f t="shared" si="86"/>
        <v>1</v>
      </c>
      <c r="O794" t="str">
        <f>CONCATENATE("1 ","")</f>
        <v>1 </v>
      </c>
      <c r="P794">
        <v>16.9</v>
      </c>
      <c r="Q794" t="s">
        <v>24</v>
      </c>
    </row>
    <row r="795" spans="1:17" ht="15">
      <c r="A795" t="s">
        <v>17</v>
      </c>
      <c r="B795" s="1">
        <v>41831</v>
      </c>
      <c r="C795" t="s">
        <v>191</v>
      </c>
      <c r="D795" t="str">
        <f>CONCATENATE("0040026090","")</f>
        <v>0040026090</v>
      </c>
      <c r="E795" t="str">
        <f>CONCATENATE("0600133000180       ","")</f>
        <v>0600133000180       </v>
      </c>
      <c r="F795" t="str">
        <f>CONCATENATE("1234905","")</f>
        <v>1234905</v>
      </c>
      <c r="G795" t="s">
        <v>1686</v>
      </c>
      <c r="H795" t="s">
        <v>1690</v>
      </c>
      <c r="I795" t="s">
        <v>1688</v>
      </c>
      <c r="J795" t="str">
        <f t="shared" si="85"/>
        <v>080601</v>
      </c>
      <c r="K795" t="s">
        <v>22</v>
      </c>
      <c r="L795" t="s">
        <v>23</v>
      </c>
      <c r="M795" t="str">
        <f t="shared" si="86"/>
        <v>1</v>
      </c>
      <c r="O795" t="str">
        <f>CONCATENATE("6 ","")</f>
        <v>6 </v>
      </c>
      <c r="P795">
        <v>45.75</v>
      </c>
      <c r="Q795" t="s">
        <v>24</v>
      </c>
    </row>
    <row r="796" spans="1:17" ht="15">
      <c r="A796" t="s">
        <v>17</v>
      </c>
      <c r="B796" s="1">
        <v>41831</v>
      </c>
      <c r="C796" t="s">
        <v>191</v>
      </c>
      <c r="D796" t="str">
        <f>CONCATENATE("0040026077","")</f>
        <v>0040026077</v>
      </c>
      <c r="E796" t="str">
        <f>CONCATENATE("0600133000250       ","")</f>
        <v>0600133000250       </v>
      </c>
      <c r="F796" t="str">
        <f>CONCATENATE("1234923","")</f>
        <v>1234923</v>
      </c>
      <c r="G796" t="s">
        <v>1686</v>
      </c>
      <c r="H796" t="s">
        <v>1691</v>
      </c>
      <c r="I796" t="s">
        <v>1688</v>
      </c>
      <c r="J796" t="str">
        <f t="shared" si="85"/>
        <v>080601</v>
      </c>
      <c r="K796" t="s">
        <v>22</v>
      </c>
      <c r="L796" t="s">
        <v>23</v>
      </c>
      <c r="M796" t="str">
        <f t="shared" si="86"/>
        <v>1</v>
      </c>
      <c r="O796" t="str">
        <f>CONCATENATE("1 ","")</f>
        <v>1 </v>
      </c>
      <c r="P796">
        <v>12.85</v>
      </c>
      <c r="Q796" t="s">
        <v>24</v>
      </c>
    </row>
    <row r="797" spans="1:17" ht="15">
      <c r="A797" t="s">
        <v>17</v>
      </c>
      <c r="B797" s="1">
        <v>41831</v>
      </c>
      <c r="C797" t="s">
        <v>191</v>
      </c>
      <c r="D797" t="str">
        <f>CONCATENATE("0040026080","")</f>
        <v>0040026080</v>
      </c>
      <c r="E797" t="str">
        <f>CONCATENATE("0600133000330       ","")</f>
        <v>0600133000330       </v>
      </c>
      <c r="F797" t="str">
        <f>CONCATENATE("1234927","")</f>
        <v>1234927</v>
      </c>
      <c r="G797" t="s">
        <v>1686</v>
      </c>
      <c r="H797" t="s">
        <v>1692</v>
      </c>
      <c r="I797" t="s">
        <v>1688</v>
      </c>
      <c r="J797" t="str">
        <f t="shared" si="85"/>
        <v>080601</v>
      </c>
      <c r="K797" t="s">
        <v>22</v>
      </c>
      <c r="L797" t="s">
        <v>23</v>
      </c>
      <c r="M797" t="str">
        <f t="shared" si="86"/>
        <v>1</v>
      </c>
      <c r="O797" t="str">
        <f>CONCATENATE("3 ","")</f>
        <v>3 </v>
      </c>
      <c r="P797">
        <v>25.9</v>
      </c>
      <c r="Q797" t="s">
        <v>24</v>
      </c>
    </row>
    <row r="798" spans="1:17" ht="15">
      <c r="A798" t="s">
        <v>17</v>
      </c>
      <c r="B798" s="1">
        <v>41831</v>
      </c>
      <c r="C798" t="s">
        <v>191</v>
      </c>
      <c r="D798" t="str">
        <f>CONCATENATE("0040026079","")</f>
        <v>0040026079</v>
      </c>
      <c r="E798" t="str">
        <f>CONCATENATE("0600133000340       ","")</f>
        <v>0600133000340       </v>
      </c>
      <c r="F798" t="str">
        <f>CONCATENATE("1234926","")</f>
        <v>1234926</v>
      </c>
      <c r="G798" t="s">
        <v>1686</v>
      </c>
      <c r="H798" t="s">
        <v>1693</v>
      </c>
      <c r="I798" t="s">
        <v>1688</v>
      </c>
      <c r="J798" t="str">
        <f t="shared" si="85"/>
        <v>080601</v>
      </c>
      <c r="K798" t="s">
        <v>22</v>
      </c>
      <c r="L798" t="s">
        <v>23</v>
      </c>
      <c r="M798" t="str">
        <f t="shared" si="86"/>
        <v>1</v>
      </c>
      <c r="O798" t="str">
        <f>CONCATENATE("3 ","")</f>
        <v>3 </v>
      </c>
      <c r="P798">
        <v>26.05</v>
      </c>
      <c r="Q798" t="s">
        <v>24</v>
      </c>
    </row>
    <row r="799" spans="1:17" ht="15">
      <c r="A799" t="s">
        <v>17</v>
      </c>
      <c r="B799" s="1">
        <v>41831</v>
      </c>
      <c r="C799" t="s">
        <v>191</v>
      </c>
      <c r="D799" t="str">
        <f>CONCATENATE("0040026106","")</f>
        <v>0040026106</v>
      </c>
      <c r="E799" t="str">
        <f>CONCATENATE("0600133000430       ","")</f>
        <v>0600133000430       </v>
      </c>
      <c r="F799" t="str">
        <f>CONCATENATE("1235275","")</f>
        <v>1235275</v>
      </c>
      <c r="G799" t="s">
        <v>1686</v>
      </c>
      <c r="H799" t="s">
        <v>1694</v>
      </c>
      <c r="I799" t="s">
        <v>1688</v>
      </c>
      <c r="J799" t="str">
        <f t="shared" si="85"/>
        <v>080601</v>
      </c>
      <c r="K799" t="s">
        <v>22</v>
      </c>
      <c r="L799" t="s">
        <v>23</v>
      </c>
      <c r="M799" t="str">
        <f t="shared" si="86"/>
        <v>1</v>
      </c>
      <c r="O799" t="str">
        <f>CONCATENATE("1 ","")</f>
        <v>1 </v>
      </c>
      <c r="P799">
        <v>12.95</v>
      </c>
      <c r="Q799" t="s">
        <v>24</v>
      </c>
    </row>
    <row r="800" spans="1:17" ht="15">
      <c r="A800" t="s">
        <v>17</v>
      </c>
      <c r="B800" s="1">
        <v>41831</v>
      </c>
      <c r="C800" t="s">
        <v>191</v>
      </c>
      <c r="D800" t="str">
        <f>CONCATENATE("0040026103","")</f>
        <v>0040026103</v>
      </c>
      <c r="E800" t="str">
        <f>CONCATENATE("0600133000490       ","")</f>
        <v>0600133000490       </v>
      </c>
      <c r="F800" t="str">
        <f>CONCATENATE("1234913","")</f>
        <v>1234913</v>
      </c>
      <c r="G800" t="s">
        <v>1686</v>
      </c>
      <c r="H800" t="s">
        <v>1695</v>
      </c>
      <c r="I800" t="s">
        <v>1688</v>
      </c>
      <c r="J800" t="str">
        <f t="shared" si="85"/>
        <v>080601</v>
      </c>
      <c r="K800" t="s">
        <v>22</v>
      </c>
      <c r="L800" t="s">
        <v>23</v>
      </c>
      <c r="M800" t="str">
        <f t="shared" si="86"/>
        <v>1</v>
      </c>
      <c r="O800" t="str">
        <f>CONCATENATE("5 ","")</f>
        <v>5 </v>
      </c>
      <c r="P800">
        <v>39.4</v>
      </c>
      <c r="Q800" t="s">
        <v>24</v>
      </c>
    </row>
    <row r="801" spans="1:17" ht="15">
      <c r="A801" t="s">
        <v>17</v>
      </c>
      <c r="B801" s="1">
        <v>41831</v>
      </c>
      <c r="C801" t="s">
        <v>191</v>
      </c>
      <c r="D801" t="str">
        <f>CONCATENATE("0040025980","")</f>
        <v>0040025980</v>
      </c>
      <c r="E801" t="str">
        <f>CONCATENATE("0600134000060       ","")</f>
        <v>0600134000060       </v>
      </c>
      <c r="F801" t="str">
        <f>CONCATENATE("1234860","")</f>
        <v>1234860</v>
      </c>
      <c r="G801" t="s">
        <v>1696</v>
      </c>
      <c r="H801" t="s">
        <v>1697</v>
      </c>
      <c r="I801" t="s">
        <v>1698</v>
      </c>
      <c r="J801" t="str">
        <f t="shared" si="85"/>
        <v>080601</v>
      </c>
      <c r="K801" t="s">
        <v>22</v>
      </c>
      <c r="L801" t="s">
        <v>23</v>
      </c>
      <c r="M801" t="str">
        <f t="shared" si="86"/>
        <v>1</v>
      </c>
      <c r="O801" t="str">
        <f>CONCATENATE("1 ","")</f>
        <v>1 </v>
      </c>
      <c r="P801">
        <v>13.2</v>
      </c>
      <c r="Q801" t="s">
        <v>24</v>
      </c>
    </row>
    <row r="802" spans="1:17" ht="15">
      <c r="A802" t="s">
        <v>17</v>
      </c>
      <c r="B802" s="1">
        <v>41831</v>
      </c>
      <c r="C802" t="s">
        <v>191</v>
      </c>
      <c r="D802" t="str">
        <f>CONCATENATE("0040025972","")</f>
        <v>0040025972</v>
      </c>
      <c r="E802" t="str">
        <f>CONCATENATE("0600134000140       ","")</f>
        <v>0600134000140       </v>
      </c>
      <c r="F802" t="str">
        <f>CONCATENATE("1234872","")</f>
        <v>1234872</v>
      </c>
      <c r="G802" t="s">
        <v>1696</v>
      </c>
      <c r="H802" t="s">
        <v>1699</v>
      </c>
      <c r="I802" t="s">
        <v>1698</v>
      </c>
      <c r="J802" t="str">
        <f t="shared" si="85"/>
        <v>080601</v>
      </c>
      <c r="K802" t="s">
        <v>22</v>
      </c>
      <c r="L802" t="s">
        <v>23</v>
      </c>
      <c r="M802" t="str">
        <f t="shared" si="86"/>
        <v>1</v>
      </c>
      <c r="O802" t="str">
        <f>CONCATENATE("1 ","")</f>
        <v>1 </v>
      </c>
      <c r="P802">
        <v>17.75</v>
      </c>
      <c r="Q802" t="s">
        <v>24</v>
      </c>
    </row>
    <row r="803" spans="1:17" ht="15">
      <c r="A803" t="s">
        <v>17</v>
      </c>
      <c r="B803" s="1">
        <v>41831</v>
      </c>
      <c r="C803" t="s">
        <v>191</v>
      </c>
      <c r="D803" t="str">
        <f>CONCATENATE("0040025987","")</f>
        <v>0040025987</v>
      </c>
      <c r="E803" t="str">
        <f>CONCATENATE("0600134000180       ","")</f>
        <v>0600134000180       </v>
      </c>
      <c r="F803" t="str">
        <f>CONCATENATE("1234869","")</f>
        <v>1234869</v>
      </c>
      <c r="G803" t="s">
        <v>1696</v>
      </c>
      <c r="H803" t="s">
        <v>1700</v>
      </c>
      <c r="I803" t="s">
        <v>1698</v>
      </c>
      <c r="J803" t="str">
        <f t="shared" si="85"/>
        <v>080601</v>
      </c>
      <c r="K803" t="s">
        <v>22</v>
      </c>
      <c r="L803" t="s">
        <v>23</v>
      </c>
      <c r="M803" t="str">
        <f t="shared" si="86"/>
        <v>1</v>
      </c>
      <c r="O803" t="str">
        <f>CONCATENATE("3 ","")</f>
        <v>3 </v>
      </c>
      <c r="P803">
        <v>24.8</v>
      </c>
      <c r="Q803" t="s">
        <v>24</v>
      </c>
    </row>
    <row r="804" spans="1:17" ht="15">
      <c r="A804" t="s">
        <v>17</v>
      </c>
      <c r="B804" s="1">
        <v>41831</v>
      </c>
      <c r="C804" t="s">
        <v>191</v>
      </c>
      <c r="D804" t="str">
        <f>CONCATENATE("0040025988","")</f>
        <v>0040025988</v>
      </c>
      <c r="E804" t="str">
        <f>CONCATENATE("0600134000190       ","")</f>
        <v>0600134000190       </v>
      </c>
      <c r="F804" t="str">
        <f>CONCATENATE("1234874","")</f>
        <v>1234874</v>
      </c>
      <c r="G804" t="s">
        <v>1696</v>
      </c>
      <c r="H804" t="s">
        <v>1701</v>
      </c>
      <c r="I804" t="s">
        <v>1698</v>
      </c>
      <c r="J804" t="str">
        <f t="shared" si="85"/>
        <v>080601</v>
      </c>
      <c r="K804" t="s">
        <v>22</v>
      </c>
      <c r="L804" t="s">
        <v>23</v>
      </c>
      <c r="M804" t="str">
        <f t="shared" si="86"/>
        <v>1</v>
      </c>
      <c r="O804" t="str">
        <f>CONCATENATE("2 ","")</f>
        <v>2 </v>
      </c>
      <c r="P804">
        <v>19.4</v>
      </c>
      <c r="Q804" t="s">
        <v>24</v>
      </c>
    </row>
    <row r="805" spans="1:17" ht="15">
      <c r="A805" t="s">
        <v>17</v>
      </c>
      <c r="B805" s="1">
        <v>41831</v>
      </c>
      <c r="C805" t="s">
        <v>191</v>
      </c>
      <c r="D805" t="str">
        <f>CONCATENATE("0040025990","")</f>
        <v>0040025990</v>
      </c>
      <c r="E805" t="str">
        <f>CONCATENATE("0600134000210       ","")</f>
        <v>0600134000210       </v>
      </c>
      <c r="F805" t="str">
        <f>CONCATENATE("1234857","")</f>
        <v>1234857</v>
      </c>
      <c r="G805" t="s">
        <v>1696</v>
      </c>
      <c r="H805" t="s">
        <v>1702</v>
      </c>
      <c r="I805" t="s">
        <v>1698</v>
      </c>
      <c r="J805" t="str">
        <f t="shared" si="85"/>
        <v>080601</v>
      </c>
      <c r="K805" t="s">
        <v>22</v>
      </c>
      <c r="L805" t="s">
        <v>23</v>
      </c>
      <c r="M805" t="str">
        <f t="shared" si="86"/>
        <v>1</v>
      </c>
      <c r="O805" t="str">
        <f>CONCATENATE("2 ","")</f>
        <v>2 </v>
      </c>
      <c r="P805">
        <v>19.4</v>
      </c>
      <c r="Q805" t="s">
        <v>24</v>
      </c>
    </row>
  </sheetData>
  <sheetProtection/>
  <autoFilter ref="A1:Q80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Efrain Ramiro Aparicio Campana</dc:creator>
  <cp:keywords/>
  <dc:description/>
  <cp:lastModifiedBy>Efrain Ramiro Aparicio Campana</cp:lastModifiedBy>
  <dcterms:modified xsi:type="dcterms:W3CDTF">2014-07-11T13:55:50Z</dcterms:modified>
  <cp:category/>
  <cp:version/>
  <cp:contentType/>
  <cp:contentStatus/>
</cp:coreProperties>
</file>