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201405_CORTES_COMBAPATA" sheetId="1" r:id="rId1"/>
  </sheets>
  <definedNames>
    <definedName name="_xlnm._FilterDatabase" localSheetId="0" hidden="1">'201405_CORTES_COMBAPATA'!$A$1:$Q$684</definedName>
  </definedNames>
  <calcPr fullCalcOnLoad="1"/>
</workbook>
</file>

<file path=xl/sharedStrings.xml><?xml version="1.0" encoding="utf-8"?>
<sst xmlns="http://schemas.openxmlformats.org/spreadsheetml/2006/main" count="5471" uniqueCount="1419">
  <si>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</si>
  <si>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</si>
  <si>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</si>
  <si>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</si>
  <si>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</si>
  <si>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</si>
  <si>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</si>
  <si>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</si>
  <si>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</si>
  <si>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</si>
  <si>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</si>
  <si>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</si>
  <si>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</si>
  <si>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</si>
  <si>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</si>
  <si>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</si>
  <si>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</si>
  <si>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</si>
  <si>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</si>
  <si>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LOPEZ-CAMPANA--MARINA</t>
  </si>
  <si>
    <t>AV--ESCALANTE</t>
  </si>
  <si>
    <t>BT5B</t>
  </si>
  <si>
    <t>Aerea</t>
  </si>
  <si>
    <t>CRBTA11</t>
  </si>
  <si>
    <t>CO030140</t>
  </si>
  <si>
    <t>CHOQUE-FIGUEROA-FREDY</t>
  </si>
  <si>
    <t>R--CASTILLA-736-ACOMAYO</t>
  </si>
  <si>
    <t>GONZALES-QUISPE--ALFREDA</t>
  </si>
  <si>
    <t>SECTOR-SAUCEDA</t>
  </si>
  <si>
    <t>TUPAYACHI-PAZ--CELSO</t>
  </si>
  <si>
    <t>JR-LIMA---635</t>
  </si>
  <si>
    <t>ESCALANTE-LUSMILA</t>
  </si>
  <si>
    <t>JR-LIMA---751</t>
  </si>
  <si>
    <t>ESQUIVEL-N--RICARDO</t>
  </si>
  <si>
    <t>JR-LIMA---807--ACOMAYO-</t>
  </si>
  <si>
    <t>ACOS</t>
  </si>
  <si>
    <t>CO030141</t>
  </si>
  <si>
    <t>CONDORI-CONDORI--CEFERINO</t>
  </si>
  <si>
    <t>URB--QUINTA-CHCHUCO-S-N</t>
  </si>
  <si>
    <t>TTITO-T-MARTIN</t>
  </si>
  <si>
    <t>DESAMAPARADOS--S-N</t>
  </si>
  <si>
    <t>ESCALANTE-Q-VICTOR</t>
  </si>
  <si>
    <t>LORETO-S-N</t>
  </si>
  <si>
    <t>LIMPE-ESCALANTE--ELOY</t>
  </si>
  <si>
    <t>JR-ESPINAR-E1-8</t>
  </si>
  <si>
    <t>DELGADO-L-MARIO</t>
  </si>
  <si>
    <t>JR--PIZARRO-S-N-</t>
  </si>
  <si>
    <t>LIMA-MAMANI--DAMIAN</t>
  </si>
  <si>
    <t>JR--SUCRE-223</t>
  </si>
  <si>
    <t>COLLANTES-DEONICIA</t>
  </si>
  <si>
    <t>COLON---126</t>
  </si>
  <si>
    <t>JIMENEZ-FUNTES--VALENTIN</t>
  </si>
  <si>
    <t>JR--SAN-MARTIN-281</t>
  </si>
  <si>
    <t>VILLENA-M-EDILBERTO</t>
  </si>
  <si>
    <t>JR-SAN-MARTIN---291</t>
  </si>
  <si>
    <t>OLABARRERA-MELQUIADE</t>
  </si>
  <si>
    <t>JR-SAN-MARTIN---139</t>
  </si>
  <si>
    <t>VILLAFUERTE-CARMELA--NN</t>
  </si>
  <si>
    <t>PLAZA-DE-ARMAS---S-N</t>
  </si>
  <si>
    <t>HUALLPA-HOLGADO--HILARIA</t>
  </si>
  <si>
    <t>RAMON-CASTILLA---S-N</t>
  </si>
  <si>
    <t>FUENTES-TT-EVARISTO</t>
  </si>
  <si>
    <t>JR-KENNEDY-374--ACOMAYO</t>
  </si>
  <si>
    <t>MARINO-DE-LA-CRUZ--WALTER</t>
  </si>
  <si>
    <t>BARRIO-MARPA-S-N</t>
  </si>
  <si>
    <t>CO030657</t>
  </si>
  <si>
    <t>SALON-COMUNAL-CC-CC-ACOMAYO</t>
  </si>
  <si>
    <t>SALON-COMUNAL</t>
  </si>
  <si>
    <t>CRBTA31</t>
  </si>
  <si>
    <t>HUAMAN-HUAMAN--FRANCISCO</t>
  </si>
  <si>
    <t>JOSE-CARLOS-MARIATEGUI</t>
  </si>
  <si>
    <t>NU-EZ-HUAMAN-CARMEN</t>
  </si>
  <si>
    <t>AA-HH-TOMASA-TTITO-COND-</t>
  </si>
  <si>
    <t>FARFAN-MUJICA--SILVIA</t>
  </si>
  <si>
    <t>TOMASA-TITO-CONDEMAYTA-S-N</t>
  </si>
  <si>
    <t>CO030321</t>
  </si>
  <si>
    <t>QUISPE-AYCA-JUSTINO</t>
  </si>
  <si>
    <t>COM--SIMPPI--ACOMAYO</t>
  </si>
  <si>
    <t>TINCO-QUISPE-SANTIAGO</t>
  </si>
  <si>
    <t>COMUN-SIMPPI-ACOMAYO</t>
  </si>
  <si>
    <t>SALAS-PACHECO-LUIS-ANGEL</t>
  </si>
  <si>
    <t>COM--SIMPI</t>
  </si>
  <si>
    <t>CO031026</t>
  </si>
  <si>
    <t>LLOCLLE-CUTIPA--DONATO</t>
  </si>
  <si>
    <t>SECTOR-CHORRILLOS-TACASI-S-N</t>
  </si>
  <si>
    <t>AYMA-HUILLCA--TIMOTEO</t>
  </si>
  <si>
    <t>CO030251</t>
  </si>
  <si>
    <t>GUZMAN-GAMARRA-MARIO</t>
  </si>
  <si>
    <t>COMUNIDAD--HUASCAR</t>
  </si>
  <si>
    <t>SONCCO-VASQUEZ--MELCHOR</t>
  </si>
  <si>
    <t>COM--HUASCAR</t>
  </si>
  <si>
    <t>CO030138</t>
  </si>
  <si>
    <t>MALDONADO-CCOA--FELIPE</t>
  </si>
  <si>
    <t>COM-PITUMARCA-I</t>
  </si>
  <si>
    <t>TANCA-QUISPE--JACINTO</t>
  </si>
  <si>
    <t>COMUNIDAD-PITUMARCA</t>
  </si>
  <si>
    <t>TRANCA-SOLIZ-ALEJANDRO</t>
  </si>
  <si>
    <t>COM--PITUMARCA-ACOMAYO</t>
  </si>
  <si>
    <t>CHAVEZ-C-LAUREANO</t>
  </si>
  <si>
    <t>HUAYTA-QUISPE-BERNARDINO</t>
  </si>
  <si>
    <t>SANGARARA</t>
  </si>
  <si>
    <t>CO030120</t>
  </si>
  <si>
    <t>HUISA-T-ANICETA</t>
  </si>
  <si>
    <t>YANAMPAMPA---S-N</t>
  </si>
  <si>
    <t>VARGAS-AUCCAYLLE--PEDRO</t>
  </si>
  <si>
    <t>COM--YANANPAMPA</t>
  </si>
  <si>
    <t>VARGAS-B-FULGENCIO</t>
  </si>
  <si>
    <t>POMACANCHI</t>
  </si>
  <si>
    <t>CO030129</t>
  </si>
  <si>
    <t>SUAREZ-OCHOA--HILDA-NARCIZA</t>
  </si>
  <si>
    <t>AV--LAGUNA-AZUL-S-N</t>
  </si>
  <si>
    <t>CO030122</t>
  </si>
  <si>
    <t>QUISPE-L-ADRIAN</t>
  </si>
  <si>
    <t>CHILLCHICAYA---S-N</t>
  </si>
  <si>
    <t>CO030121</t>
  </si>
  <si>
    <t>QUISPE-CONDORI--CONSTANTINO</t>
  </si>
  <si>
    <t>COM-UNION-CHAHUAY-S-N</t>
  </si>
  <si>
    <t>CO031374</t>
  </si>
  <si>
    <t>HUISA-HUAMAN--PEDRO</t>
  </si>
  <si>
    <t>LAMPA-QUISPILLACTA</t>
  </si>
  <si>
    <t>CO031383</t>
  </si>
  <si>
    <t>TAY-A-CONDORI--CRISTOBAL</t>
  </si>
  <si>
    <t>LLACTAPAMPA</t>
  </si>
  <si>
    <t>PARIGUANA-HUILLCA--GREGORIA</t>
  </si>
  <si>
    <t>COM--LLACTAPAMPA</t>
  </si>
  <si>
    <t>PUMA-PUMA--SANTIAGO</t>
  </si>
  <si>
    <t>QUISPE-QOAQUIRA--NICOLAS</t>
  </si>
  <si>
    <t>CO031391</t>
  </si>
  <si>
    <t>PUMA-CHAVEZ--JESUS</t>
  </si>
  <si>
    <t>PUICA</t>
  </si>
  <si>
    <t>I-E-N--50734--HUADHUA</t>
  </si>
  <si>
    <t>COM--HUADHUA</t>
  </si>
  <si>
    <t>CO031373</t>
  </si>
  <si>
    <t>QUISPE-QUISPE--JUAN</t>
  </si>
  <si>
    <t>HUADHUA</t>
  </si>
  <si>
    <t>CO031371</t>
  </si>
  <si>
    <t>QUISPE-PUMAHUILLCA--ALEJANDRO</t>
  </si>
  <si>
    <t>TUCUMARCA</t>
  </si>
  <si>
    <t>ACOPIA</t>
  </si>
  <si>
    <t>ZAMATA-DUE-AS--MARGARITA</t>
  </si>
  <si>
    <t>CALLE-REAL-S-N</t>
  </si>
  <si>
    <t>CO030119</t>
  </si>
  <si>
    <t>HAYLLANI-F-BONIFACIO</t>
  </si>
  <si>
    <t>A-M-HURTADO---S-N</t>
  </si>
  <si>
    <t>DELGADOCH-FRANCISCO</t>
  </si>
  <si>
    <t>A-M-HURTADO</t>
  </si>
  <si>
    <t>CHAMPI-MAMANI--JESUS</t>
  </si>
  <si>
    <t>AV-MIGUEL-ANGEL-HURTADO-S-N</t>
  </si>
  <si>
    <t>SANCHEZ-OROSCO--EPIFANIA</t>
  </si>
  <si>
    <t>MIGUEL-A-HURATDO-136</t>
  </si>
  <si>
    <t>CHOQUE-GONZALES--NELY-SEGUNDA</t>
  </si>
  <si>
    <t>JR--DOS-DE-MAYO-410---ACOPIA</t>
  </si>
  <si>
    <t>LLERENA-QUISPE--BENIGNO</t>
  </si>
  <si>
    <t>AV-PADRE-RODRIGO-MOLINA-S-N</t>
  </si>
  <si>
    <t>ABC-PRODEIN-CLINICA-ACOPIA--CL</t>
  </si>
  <si>
    <t>SAN-VICENTE--S-N</t>
  </si>
  <si>
    <t>MERMA-C--AURELIO</t>
  </si>
  <si>
    <t>ILLACANCHI-TINTA--EPIFANIO</t>
  </si>
  <si>
    <t>PASION--S-N</t>
  </si>
  <si>
    <t>QUISPE-YAURI--CRISOSTOMO</t>
  </si>
  <si>
    <t>JR--SAN-VICENTE-S-N</t>
  </si>
  <si>
    <t>CO030449</t>
  </si>
  <si>
    <t>ALIRE-VALCARCEL--RAUL-MARIO</t>
  </si>
  <si>
    <t>COM-HUAYRACHAPI</t>
  </si>
  <si>
    <t>CO030117</t>
  </si>
  <si>
    <t>LEON--JACINTO</t>
  </si>
  <si>
    <t>SECTOR-STO-DOMINGO---S-N</t>
  </si>
  <si>
    <t>HUAYLLANI-CHOQQUE--SERGIO</t>
  </si>
  <si>
    <t>COM--SANTO-DOMINGO-S-N</t>
  </si>
  <si>
    <t>PEZO-NINA--MARIO</t>
  </si>
  <si>
    <t>SECTOR-PILLITINA-SANTO-DOMINGO</t>
  </si>
  <si>
    <t>QUISPE-TINTA--BENEDICTA</t>
  </si>
  <si>
    <t>PILLITINA-SANTO-DOMINGO</t>
  </si>
  <si>
    <t>MOSOC LLACTA</t>
  </si>
  <si>
    <t>CO030772</t>
  </si>
  <si>
    <t>LOCAL-COMUNAL-HUARASAYCO</t>
  </si>
  <si>
    <t>ANEXO-HUARASAYCO-S-N</t>
  </si>
  <si>
    <t>CO020071</t>
  </si>
  <si>
    <t>YAHUARI-QUISPE-AVELINO</t>
  </si>
  <si>
    <t>COMUNIDAD-TACTABANBA</t>
  </si>
  <si>
    <t>ARONES-CERRILLO--BALTAZAR</t>
  </si>
  <si>
    <t>AV--PROGRESO</t>
  </si>
  <si>
    <t>CCASA-CH-EMETERIA</t>
  </si>
  <si>
    <t>TACTABAMBA---S-N</t>
  </si>
  <si>
    <t>CASCAMAYTA-QUISPE--GREGORIO</t>
  </si>
  <si>
    <t>C-C-UNION-CHAHUAY-AV--CASCAMAY</t>
  </si>
  <si>
    <t>QUISPE-CC-BERNARDINO</t>
  </si>
  <si>
    <t>FLORES-SUMA--CONCEPCION</t>
  </si>
  <si>
    <t>COM-TACTABAMBA-S-N</t>
  </si>
  <si>
    <t>CO030101</t>
  </si>
  <si>
    <t>GERRA-DE-CC-LIBORIA</t>
  </si>
  <si>
    <t>BELLAVISTA-S-N-</t>
  </si>
  <si>
    <t>CO030144</t>
  </si>
  <si>
    <t>VILLA-HUACAC--JUAN-DE-DIOS</t>
  </si>
  <si>
    <t>CALLE-BOLIVAR---S-N</t>
  </si>
  <si>
    <t>PUMA-H-JESUSA</t>
  </si>
  <si>
    <t>BOLIVAR---S-N</t>
  </si>
  <si>
    <t>HUANEC-DE-F-HIGIDIA</t>
  </si>
  <si>
    <t>TOMASA-TITO-CONDEMAYTA-S-</t>
  </si>
  <si>
    <t>MAYORGA-MELLADO-DE-VARGAS--LUC</t>
  </si>
  <si>
    <t>TOMASA-TT-COND---S-N</t>
  </si>
  <si>
    <t>USTO-B-FORTUNATO</t>
  </si>
  <si>
    <t>T-T-CONDEMAYTA---S-N</t>
  </si>
  <si>
    <t>DELGADO-C--FERNANDO</t>
  </si>
  <si>
    <t>BOLOGNESI-S-N</t>
  </si>
  <si>
    <t>DELGADO-D-LEONCIO</t>
  </si>
  <si>
    <t>TOMASA-TT-COND----S-N</t>
  </si>
  <si>
    <t>HUACAC-D-ELISA</t>
  </si>
  <si>
    <t>JR-BOLOGNESI-S-N-</t>
  </si>
  <si>
    <t>DELGADO-F-APOLINAR</t>
  </si>
  <si>
    <t>JR--BOLOGNESI-S-N-</t>
  </si>
  <si>
    <t>OJEDA-ACHAHUI--GUMERCINDO</t>
  </si>
  <si>
    <t>TOMASA-TTITO-CONDEMAYTA</t>
  </si>
  <si>
    <t>CHARCA-E-JOSE</t>
  </si>
  <si>
    <t>LEON-F-LADISLAO</t>
  </si>
  <si>
    <t>PIEROLA---S-N</t>
  </si>
  <si>
    <t>OCSA-CERVANTES-DE-MEDINA--SATU</t>
  </si>
  <si>
    <t>CALLE-PIEROLA</t>
  </si>
  <si>
    <t>KURO-O-HUGO</t>
  </si>
  <si>
    <t>PUMACAHUA---S-N</t>
  </si>
  <si>
    <t>LLANOS-QUISPE--EUFROSINA</t>
  </si>
  <si>
    <t>C--PARDO-S-N</t>
  </si>
  <si>
    <t>VERA-M-VALENTIN</t>
  </si>
  <si>
    <t>BOLIVAR-S-N-</t>
  </si>
  <si>
    <t>HUAMANI-AROTAIPE--DELFINA</t>
  </si>
  <si>
    <t>TOMASA-TTITO-CONDEMAYTA-S-N</t>
  </si>
  <si>
    <t>HERRERA-T--JOSE</t>
  </si>
  <si>
    <t>PLAZA-DE-ARMAS-S-N</t>
  </si>
  <si>
    <t>ESCALANTE-DE-CJURO--CONCEPCION</t>
  </si>
  <si>
    <t>CALLE-FILANDIA-S-N-ACOS</t>
  </si>
  <si>
    <t>LEON-OCSA--CARMEN-MERY</t>
  </si>
  <si>
    <t>CALLE-FILANDIA-S-N</t>
  </si>
  <si>
    <t>CACERES-H-AVELINO</t>
  </si>
  <si>
    <t>PUMACAHUA-S-N-</t>
  </si>
  <si>
    <t>ARO-MARTINEZ--DOMINGO</t>
  </si>
  <si>
    <t>PUMACAHUA--7</t>
  </si>
  <si>
    <t>CO030143</t>
  </si>
  <si>
    <t>AUCAYLLE-H-JULIANA</t>
  </si>
  <si>
    <t>CHACO-S-N-</t>
  </si>
  <si>
    <t>PALOMINO-MANUEL</t>
  </si>
  <si>
    <t>DELGADO-DE-A-DORIS</t>
  </si>
  <si>
    <t>CO030369</t>
  </si>
  <si>
    <t>GUEVARA-TANKA-VICTOR</t>
  </si>
  <si>
    <t>COM-HUIAYQUI</t>
  </si>
  <si>
    <t>FUENTES-D--FABIAN</t>
  </si>
  <si>
    <t>COM-HUAYQUI</t>
  </si>
  <si>
    <t>LUNA-PALOMINO-SABINO</t>
  </si>
  <si>
    <t>VILLENA-CANDIA--APOLINARIO</t>
  </si>
  <si>
    <t>COM--HUAYQUI</t>
  </si>
  <si>
    <t>CO030756</t>
  </si>
  <si>
    <t>INSTITUCION-EDUCATIVA-N----501</t>
  </si>
  <si>
    <t>ANEXO-CCOCHAPATA</t>
  </si>
  <si>
    <t>CO030769</t>
  </si>
  <si>
    <t>HUAMAN-VALDEYGLICIAS--DAMASO</t>
  </si>
  <si>
    <t>PERCCA-S-N</t>
  </si>
  <si>
    <t>CANDIA-NINA--FRANCISCO-JAVIER</t>
  </si>
  <si>
    <t>CANARI-LUNA--TRINIDAD</t>
  </si>
  <si>
    <t>PRADA-ORIHUELA--LIDIO</t>
  </si>
  <si>
    <t>JERI-LEON--SILVERIO</t>
  </si>
  <si>
    <t>CO030768</t>
  </si>
  <si>
    <t>LIMA-APAZA--JOSE</t>
  </si>
  <si>
    <t>CO030114</t>
  </si>
  <si>
    <t>ESPINOZA-P-SAMUEL</t>
  </si>
  <si>
    <t>APURIMAC---S-N</t>
  </si>
  <si>
    <t>QUISPE-DE-CALLA-AUPA--HERMELIN</t>
  </si>
  <si>
    <t>TUPAC-AMARU-S-N</t>
  </si>
  <si>
    <t>AYALA-C-SERGIO</t>
  </si>
  <si>
    <t>TUPAC-AMARU---S-N</t>
  </si>
  <si>
    <t>CARBAJAL-A--MERCEDES</t>
  </si>
  <si>
    <t>T--AMARU-MOSOCLLACTA</t>
  </si>
  <si>
    <t>CHOQQUE-ARO--GREGORIO</t>
  </si>
  <si>
    <t>SAN-MARTIN---S-N</t>
  </si>
  <si>
    <t>CO031948</t>
  </si>
  <si>
    <t>MAMANI-GONZALES-AGUSTO</t>
  </si>
  <si>
    <t>COMUNIDAD---THUMI</t>
  </si>
  <si>
    <t>QUISPE-SABUNCO-ELENA</t>
  </si>
  <si>
    <t>COMUNIDAD-THUMI</t>
  </si>
  <si>
    <t>TUPAC AMARU</t>
  </si>
  <si>
    <t>CO030502</t>
  </si>
  <si>
    <t>CUTI-CH-AURELIO-E-</t>
  </si>
  <si>
    <t>BARRIO-ROSASPATA</t>
  </si>
  <si>
    <t>CO030495</t>
  </si>
  <si>
    <t>TECSI-PEREDO--SANTIAGO</t>
  </si>
  <si>
    <t>COM-ROSASANI-S-N</t>
  </si>
  <si>
    <t>AYMA-TECSI-JULIAN</t>
  </si>
  <si>
    <t>COM--ROSASANI</t>
  </si>
  <si>
    <t>GONZALO-M-AUGUSTO</t>
  </si>
  <si>
    <t>SALON-COMUNAL-ROSASANI</t>
  </si>
  <si>
    <t>CO031366</t>
  </si>
  <si>
    <t>RIMACHE-DIAZ--MARIO-MAGDALENO</t>
  </si>
  <si>
    <t>COM--PAMPAHUASI-2</t>
  </si>
  <si>
    <t>DIAZ-GUTIERREZ--PEDRO-SEGUNDO</t>
  </si>
  <si>
    <t>CO030494</t>
  </si>
  <si>
    <t>QUISPE-LABRA-JULIAN</t>
  </si>
  <si>
    <t>COM-PAMPAHUASI-S-N</t>
  </si>
  <si>
    <t>QUISPE-AGUILAR-JULIA</t>
  </si>
  <si>
    <t>CO030493</t>
  </si>
  <si>
    <t>QUISPE-HOGADO--PIEDAD-BALVINA</t>
  </si>
  <si>
    <t>HUAYLLUTA-S-N</t>
  </si>
  <si>
    <t>DIAZ-QUISPE--SALOMON</t>
  </si>
  <si>
    <t>COMUNIDAD-HUAYLLUTA</t>
  </si>
  <si>
    <t>LIVITACA</t>
  </si>
  <si>
    <t>CO030666</t>
  </si>
  <si>
    <t>MELENDEZ-BELTRAN--DEMETRIO-HON</t>
  </si>
  <si>
    <t>COM--TOTORA</t>
  </si>
  <si>
    <t>QUISPE-MAMANI--BERNABE</t>
  </si>
  <si>
    <t>COM-TOTORA-HUANCAHUIRE--S-N</t>
  </si>
  <si>
    <t>TTITO-GUERRA--SANTIAGO</t>
  </si>
  <si>
    <t>COM--TOTORA-S-N</t>
  </si>
  <si>
    <t>CO030736</t>
  </si>
  <si>
    <t>ALMANACIN-AYME--DEMETRIO</t>
  </si>
  <si>
    <t>C-P-M-PATAQQUE-A-S-N</t>
  </si>
  <si>
    <t>CO030737</t>
  </si>
  <si>
    <t>TORRE-MUNOZ--APARICIO</t>
  </si>
  <si>
    <t>COM-JALCCO-S-N</t>
  </si>
  <si>
    <t>I-E-56283-JALLCO</t>
  </si>
  <si>
    <t>CO030134</t>
  </si>
  <si>
    <t>LM-BIBLIOTECA-MUNICIPAL</t>
  </si>
  <si>
    <t>BELLAS-ARTES---S-N</t>
  </si>
  <si>
    <t>FRAFAN-LEONOR</t>
  </si>
  <si>
    <t>RETIRO--S-N</t>
  </si>
  <si>
    <t>CORREDOR-CH-ANGELINO</t>
  </si>
  <si>
    <t>BOLOGNESI--S-N</t>
  </si>
  <si>
    <t>CASA-COMUNAL-POMACANCHI</t>
  </si>
  <si>
    <t>CALLE-BOLOGNESI</t>
  </si>
  <si>
    <t>CO030132</t>
  </si>
  <si>
    <t>QUISPE-HUAMANI--VALENTIN</t>
  </si>
  <si>
    <t>MARISCAL-CASTILLA-S-N</t>
  </si>
  <si>
    <t>CO030135</t>
  </si>
  <si>
    <t>QUISPICHU-GRACIELA</t>
  </si>
  <si>
    <t>RETIRO-S-N</t>
  </si>
  <si>
    <t>AYQUE-SANTIAGO</t>
  </si>
  <si>
    <t>MANCO-CAPAC--S-N</t>
  </si>
  <si>
    <t>MIRANO-VICTOR--NN</t>
  </si>
  <si>
    <t>TRUJILLO--S-N</t>
  </si>
  <si>
    <t>CO031252</t>
  </si>
  <si>
    <t>QUISPE-CONDORI--RUFINA</t>
  </si>
  <si>
    <t>JR--LIMA-S-N-</t>
  </si>
  <si>
    <t>CHOQUE-CHAVEZ--LORENZA</t>
  </si>
  <si>
    <t>SAN-ROQUE-F1-13</t>
  </si>
  <si>
    <t>FERNANDEZ-CHOQUE--DANIEL</t>
  </si>
  <si>
    <t>HURTADO-GARFIAS--NIMIA</t>
  </si>
  <si>
    <t>CO031307</t>
  </si>
  <si>
    <t>VILLAFUERTE-TAIPE--FROILAN</t>
  </si>
  <si>
    <t>SECT--TOMAYCO-QORAQUECHA-COM--</t>
  </si>
  <si>
    <t>SULLCA-PE-A--FORTUNATO</t>
  </si>
  <si>
    <t>COM--SAN-JUAN-SECT--TOMAYCO-CO</t>
  </si>
  <si>
    <t>CO030131</t>
  </si>
  <si>
    <t>AIQUI-SANTA--CRUZ-YULISA</t>
  </si>
  <si>
    <t>C-C--SAN-JOSE-DE-CONCHACALLA</t>
  </si>
  <si>
    <t>CO031306</t>
  </si>
  <si>
    <t>QUISPE-CCOA--CARMEN</t>
  </si>
  <si>
    <t>TARCA</t>
  </si>
  <si>
    <t>CO031310</t>
  </si>
  <si>
    <t>PAUCCARA-MAMANI--JOSE</t>
  </si>
  <si>
    <t>PACHACUTEC-S-N-SAN-JUAN</t>
  </si>
  <si>
    <t>SOTA-NINA--JESUS</t>
  </si>
  <si>
    <t>SAN-JUAN</t>
  </si>
  <si>
    <t>CO031315</t>
  </si>
  <si>
    <t>CENTRO-DE-SALUD-SANTA-LUCIA</t>
  </si>
  <si>
    <t>C-C--SANTA-LUCIA</t>
  </si>
  <si>
    <t>CONDORI-MAMANI--TEOFILO</t>
  </si>
  <si>
    <t>SANTA-LUCIA-1</t>
  </si>
  <si>
    <t>ZARATE--CUADROS--ESTEBAN</t>
  </si>
  <si>
    <t>LUNA-CCOTO--AURELIA</t>
  </si>
  <si>
    <t>CO031316</t>
  </si>
  <si>
    <t>CCORIMANYA-QUISPE--MACNI</t>
  </si>
  <si>
    <t>SANTA-LUCIA-2</t>
  </si>
  <si>
    <t>CO031312</t>
  </si>
  <si>
    <t>LUNA-SUCA--LUCIO</t>
  </si>
  <si>
    <t>TOCORANI-2</t>
  </si>
  <si>
    <t>CCORAHUA-DE-QUICO--BARTOLA</t>
  </si>
  <si>
    <t>LOS-INCAS-S-N</t>
  </si>
  <si>
    <t>CO030130</t>
  </si>
  <si>
    <t>HALIRE-F-JUAN</t>
  </si>
  <si>
    <t>MANCURA---S-N</t>
  </si>
  <si>
    <t>PAUCCARA-H-RICARDO</t>
  </si>
  <si>
    <t>JOACHIN-Q-TOMAS</t>
  </si>
  <si>
    <t>MANKURA---S-N</t>
  </si>
  <si>
    <t>CO030136</t>
  </si>
  <si>
    <t>VILCA-CHARALLA--LUCIO</t>
  </si>
  <si>
    <t>AV-18-DE-NOVIEMBRE-Y2-2</t>
  </si>
  <si>
    <t>HUAMANHUILLCA-BAEZ--ENRIQUE</t>
  </si>
  <si>
    <t>AV-18-DE-NOVIEMBRE-S-N</t>
  </si>
  <si>
    <t>ALLCA-CHARRALLA--HIGIDIO</t>
  </si>
  <si>
    <t>CALLE-GARCILAZO-42</t>
  </si>
  <si>
    <t>ALCCA-SALAS--FLAVIO</t>
  </si>
  <si>
    <t>CONDEMAYTA-N-7</t>
  </si>
  <si>
    <t>ANARA-CONDORI-OCTAVIO</t>
  </si>
  <si>
    <t>ATAHUALLPA-S-N</t>
  </si>
  <si>
    <t>ATAHUALLPA-SANGARARA</t>
  </si>
  <si>
    <t>QUICO-DE-HUAMAN--JUANA</t>
  </si>
  <si>
    <t>ATAHUALLPA-MZ-S1-L-4</t>
  </si>
  <si>
    <t>CO030126</t>
  </si>
  <si>
    <t>QUISPE-TTITO-FIDEL</t>
  </si>
  <si>
    <t>BELEN-S-N</t>
  </si>
  <si>
    <t>HUAYHUA-AYMITUMA--FABIAN</t>
  </si>
  <si>
    <t>COM--MARCACONGA</t>
  </si>
  <si>
    <t>SINGU-A-SONCCO--PEDRO-PASCUAL</t>
  </si>
  <si>
    <t>AV--BELEN-S-N</t>
  </si>
  <si>
    <t>CO030128</t>
  </si>
  <si>
    <t>CONDORI-BAEZ--CRISPIN</t>
  </si>
  <si>
    <t>AV-CONDEMAYTA-S-N</t>
  </si>
  <si>
    <t>BAEZ-B-MARGARITA</t>
  </si>
  <si>
    <t>TTIO-II--S-N</t>
  </si>
  <si>
    <t>YANAOCA</t>
  </si>
  <si>
    <t>CO030042</t>
  </si>
  <si>
    <t>ARMUTO-YAURISQUE--GILBER</t>
  </si>
  <si>
    <t>CALLE-CUSCO-S-N</t>
  </si>
  <si>
    <t>CUETO-N--ALIPIO-J-</t>
  </si>
  <si>
    <t>TUPAC-AMARU-S-N--YANAOCA</t>
  </si>
  <si>
    <t>CO030040</t>
  </si>
  <si>
    <t>AGUILAR-MAMANI--G</t>
  </si>
  <si>
    <t>AV--TUPAC-AMARU-S-N--YANAOCA</t>
  </si>
  <si>
    <t>CO030041</t>
  </si>
  <si>
    <t>VALLENAS-QUISPE-VDA-DE-GAMBOA-</t>
  </si>
  <si>
    <t>AV-TUPAC-AMARU--740--YANAOCA</t>
  </si>
  <si>
    <t>HUILLCA-HUAYHUA--TOMAS</t>
  </si>
  <si>
    <t>AV-TUPAC-AMARU-200</t>
  </si>
  <si>
    <t>CHAMPI-CACERES--FELIMON</t>
  </si>
  <si>
    <t>PLAZA-DE-ARMAS---YANAOCA</t>
  </si>
  <si>
    <t>APAZA-PRIMITIVA</t>
  </si>
  <si>
    <t>AV--T-AMARU</t>
  </si>
  <si>
    <t>CALLA-QUENTE--RICARDO</t>
  </si>
  <si>
    <t>AREQUIPA---S-N-YANAOCA</t>
  </si>
  <si>
    <t>LAYME-RAMOS--JOSE</t>
  </si>
  <si>
    <t>CALLE-BOLOGNESI--N--121</t>
  </si>
  <si>
    <t>HUAMAN-PEREZ-MARUJA</t>
  </si>
  <si>
    <t>BOLOGNESI-S-N--YANAOCA</t>
  </si>
  <si>
    <t>USCAMAYTA-CONDORI--SATURNINO</t>
  </si>
  <si>
    <t>HILACHOQUE-RAMOS--NANCY</t>
  </si>
  <si>
    <t>CALLE-PORVENIR-S-N</t>
  </si>
  <si>
    <t>TORRES-CCUITO--ROMUALDA</t>
  </si>
  <si>
    <t>CALLE-PORVENIR-N--1558</t>
  </si>
  <si>
    <t>LAROTA-SARAVIA-JUSTO</t>
  </si>
  <si>
    <t>PORVENIR-S-N-</t>
  </si>
  <si>
    <t>CUITO-FLORES--FELIX</t>
  </si>
  <si>
    <t>SUCRE--S-N</t>
  </si>
  <si>
    <t>CO030928</t>
  </si>
  <si>
    <t>CHOQUE-JARA--NICOMEDES</t>
  </si>
  <si>
    <t>MARIANO-TUPAC--AMARU-S-N-</t>
  </si>
  <si>
    <t>CHIPANA-MERCADO--BONIFACIO-ROB</t>
  </si>
  <si>
    <t>PIEROLA-S-N</t>
  </si>
  <si>
    <t>MACHA-TOMAICONSA--EFRAIN</t>
  </si>
  <si>
    <t>CALLE-PIEROLA-S-N</t>
  </si>
  <si>
    <t>QUISPE-LAROTA--PANFILIO-ADRIAN</t>
  </si>
  <si>
    <t>RUBEN-GAYONA-CALLO</t>
  </si>
  <si>
    <t>ESPERANZA-S-N</t>
  </si>
  <si>
    <t>GAYONA-CALLO--MARIA</t>
  </si>
  <si>
    <t>AV-AREQUIPA--S-N</t>
  </si>
  <si>
    <t>PAUCCARA-MAMANI--CEFERINO</t>
  </si>
  <si>
    <t>AV-LOS-INCAS-235-YANAOCA</t>
  </si>
  <si>
    <t>HUALLPA-MERMA--MARIANO-CEFERIN</t>
  </si>
  <si>
    <t>AV-F-TUPAC-AMARU-YANAOCA</t>
  </si>
  <si>
    <t>QUISPE-HUAMANI-LUCIO</t>
  </si>
  <si>
    <t>JR-SUCRE-S-N</t>
  </si>
  <si>
    <t>TISOC-DAZA--VICTORIA-TEODORA</t>
  </si>
  <si>
    <t>APV-VISTA-ALEGRE-MZ-D-14</t>
  </si>
  <si>
    <t>TACO-DE-LUQUE--FLORENCIA</t>
  </si>
  <si>
    <t>APV-VISTA-ALEGRE-MZ-I-2</t>
  </si>
  <si>
    <t>CO030316</t>
  </si>
  <si>
    <t>SOTO-CONZA--PEDRO</t>
  </si>
  <si>
    <t>LAYME--YANAOCA</t>
  </si>
  <si>
    <t>QUEHUE</t>
  </si>
  <si>
    <t>CO030368</t>
  </si>
  <si>
    <t>PUMA-CHULLO--TEODOCIA</t>
  </si>
  <si>
    <t>CALLE-SANTO-DOMINGO-S-N</t>
  </si>
  <si>
    <t>PUMA-CCOYURI-ANGEL</t>
  </si>
  <si>
    <t>AV-MARTIN-ZECENARRO-S-N</t>
  </si>
  <si>
    <t>APAZA-PERCCA--BERNARDO-FRANCIS</t>
  </si>
  <si>
    <t>CCOLLANA-QQUEHUE--S-N</t>
  </si>
  <si>
    <t>SUNI-SURI-MAURA-B-</t>
  </si>
  <si>
    <t>LOS-CLAVELES-S-N</t>
  </si>
  <si>
    <t>PUMA-SURCO-MARCELINO</t>
  </si>
  <si>
    <t>CALLE-SR--EXALTACION-S-N</t>
  </si>
  <si>
    <t>CHOQQUE-MONTANES--EZEQUIEL</t>
  </si>
  <si>
    <t>SANTO-DOMINGO-S-N</t>
  </si>
  <si>
    <t>CO030467</t>
  </si>
  <si>
    <t>COMUNIDAD-CHICNAYHUA</t>
  </si>
  <si>
    <t>SALVADOR-I</t>
  </si>
  <si>
    <t>CO030468</t>
  </si>
  <si>
    <t>COM-CHICNAYHUA-C-GANADERA</t>
  </si>
  <si>
    <t>SAN-SALVADOR-II-CICNAYHUA</t>
  </si>
  <si>
    <t>CAPILLA-CHICNAYHUA</t>
  </si>
  <si>
    <t>CO030469</t>
  </si>
  <si>
    <t>CHOQUE-CASTRO--DAVID</t>
  </si>
  <si>
    <t>ANEXO-PUCAPUCA-S-N-COM--CHIGNA</t>
  </si>
  <si>
    <t>CRUZ-LAROTA--CARLOS</t>
  </si>
  <si>
    <t>ANEXO-PUCA-PUCA---CHICNAYHUA</t>
  </si>
  <si>
    <t>CO030457</t>
  </si>
  <si>
    <t>CATUNTA-HUALLPA--MARCELINO</t>
  </si>
  <si>
    <t>SECTOR-LLALLAPARA-CHICO-S-N</t>
  </si>
  <si>
    <t>CO030482</t>
  </si>
  <si>
    <t>VERA-TACURI--ADRIL-EUSEBIO</t>
  </si>
  <si>
    <t>SECTOR-PERCCARO-PATA</t>
  </si>
  <si>
    <t>CO030483</t>
  </si>
  <si>
    <t>ESQUIBEL-LOZANO-DE-VILCA--MARC</t>
  </si>
  <si>
    <t>SECTOR-HUINCHIRI-PAMPA</t>
  </si>
  <si>
    <t>CO030478</t>
  </si>
  <si>
    <t>DIAZ-VALER--SANTIAGO</t>
  </si>
  <si>
    <t>CALLE-CHUMBIVILCAS-S-N</t>
  </si>
  <si>
    <t>CENTRO-DE-SALUD-HAMPATURA</t>
  </si>
  <si>
    <t>C--P-HAMPATURA-S-N</t>
  </si>
  <si>
    <t>ARENAS-MAMANI-DOMINGO</t>
  </si>
  <si>
    <t>POBLADO-MENOR-HAMPATURA</t>
  </si>
  <si>
    <t>CO030480</t>
  </si>
  <si>
    <t>QUISPE-VERA--ROMULO</t>
  </si>
  <si>
    <t>ANEXO-CHIRUPAMPA</t>
  </si>
  <si>
    <t>CHOQUEPUMA-CCOYORI--ROGER-MANU</t>
  </si>
  <si>
    <t>COM--CHIRUPAMPA</t>
  </si>
  <si>
    <t>CO030476</t>
  </si>
  <si>
    <t>TTURUCO-CJUNO--SANTUSA</t>
  </si>
  <si>
    <t>ANEXO-PUNA-VAQUERIA-S-N</t>
  </si>
  <si>
    <t>CO030485</t>
  </si>
  <si>
    <t>MAMANI-HUILLCA--MARIO</t>
  </si>
  <si>
    <t>C-P--CHAUPIBANDA</t>
  </si>
  <si>
    <t>MUNICIPALIDAD--CENTRO-POBLADO-</t>
  </si>
  <si>
    <t>COM--CHAUPIBANDA</t>
  </si>
  <si>
    <t>CHECCA</t>
  </si>
  <si>
    <t>CO030487</t>
  </si>
  <si>
    <t>JAVIER-HUILLCA--ISAIAS-ALFREDO</t>
  </si>
  <si>
    <t>C-C-CHITIBAMBA</t>
  </si>
  <si>
    <t>CO030489</t>
  </si>
  <si>
    <t>CHALLCO-CHOQQUE--ANDRES</t>
  </si>
  <si>
    <t>AV--BLAS-MEDRANO--TUCSA-CONZA</t>
  </si>
  <si>
    <t>SAIRE-SUNI--ASCENCION</t>
  </si>
  <si>
    <t>COM--CONSABAMBA--QUEHUE</t>
  </si>
  <si>
    <t>HUAYCHO-CHOQQUE--ANDRES</t>
  </si>
  <si>
    <t>C--CORAPUCARA-ESQ--AV-CANAS</t>
  </si>
  <si>
    <t>HUAYTA-TAIPE--LUZ-MARINA</t>
  </si>
  <si>
    <t>AV--SAN-ANDRES-COM--CONSABAMBA</t>
  </si>
  <si>
    <t>PAMPAMARCA</t>
  </si>
  <si>
    <t>CO030107</t>
  </si>
  <si>
    <t>SONCCO-CUSI--FEDERICO</t>
  </si>
  <si>
    <t>COM--PABELLONES-S-N</t>
  </si>
  <si>
    <t>CUSI-LAYME-TOMASA</t>
  </si>
  <si>
    <t>COM-PABELLONES</t>
  </si>
  <si>
    <t>QUISPE-MAMANI--RAIMUNDO</t>
  </si>
  <si>
    <t>SECTOR-QUISIYO</t>
  </si>
  <si>
    <t>CO030111</t>
  </si>
  <si>
    <t>CJUNO-CC-JOSE</t>
  </si>
  <si>
    <t>PHAUCHI--S-N</t>
  </si>
  <si>
    <t>CATUNTA-T-ISMAEL</t>
  </si>
  <si>
    <t>JILAYHUA--S-N</t>
  </si>
  <si>
    <t>CO030113</t>
  </si>
  <si>
    <t>SONCCO-HUANCA--PORFIRIO</t>
  </si>
  <si>
    <t>CCOLLIRE--YANAOCA</t>
  </si>
  <si>
    <t>CO030456</t>
  </si>
  <si>
    <t>MAMANI-CJUNO--ANTONIO</t>
  </si>
  <si>
    <t>C-C--HAMPATURA</t>
  </si>
  <si>
    <t>CO030463</t>
  </si>
  <si>
    <t>MAMANI-CCALLOQUISPE--JUAN-CARL</t>
  </si>
  <si>
    <t>COM-LLALLAPARA---S-N</t>
  </si>
  <si>
    <t>CO030459</t>
  </si>
  <si>
    <t>ZAPATA-PUMA-SANTIAGO</t>
  </si>
  <si>
    <t>SECT-ACCOSAYA-LLALLAPARA</t>
  </si>
  <si>
    <t>CO030465</t>
  </si>
  <si>
    <t>ESCOBAR-CONDO-JUAN</t>
  </si>
  <si>
    <t>SECTOR-PAROMANI</t>
  </si>
  <si>
    <t>CO030474</t>
  </si>
  <si>
    <t>MAMANI-SURCO-MARTIN</t>
  </si>
  <si>
    <t>COM-MACHACCOYO-A-</t>
  </si>
  <si>
    <t>HANCCO-JALANOCCA--JORGE</t>
  </si>
  <si>
    <t>COM--MACHACCOYO--A-</t>
  </si>
  <si>
    <t>CHINO-ANCCASI--ROBERTO</t>
  </si>
  <si>
    <t>COM-MACHACCOYO--A-</t>
  </si>
  <si>
    <t>CO031357</t>
  </si>
  <si>
    <t>ALVAREZ-LUQUE--FRANCISCO</t>
  </si>
  <si>
    <t>PAMPIO</t>
  </si>
  <si>
    <t>CO040104</t>
  </si>
  <si>
    <t>EST-DE-SERV-MILENIO</t>
  </si>
  <si>
    <t>PAMPAMARCA-S-N</t>
  </si>
  <si>
    <t>MARTINEZ-AUGUSTO</t>
  </si>
  <si>
    <t>TTITO-ACHAHUANCO--WILLY</t>
  </si>
  <si>
    <t>VARGAS-MARTIN</t>
  </si>
  <si>
    <t>TOMAYCONSA-ADELA</t>
  </si>
  <si>
    <t>JR-CUSCO-S-N</t>
  </si>
  <si>
    <t>MONTALVO-HUAYHUA--ANDREA</t>
  </si>
  <si>
    <t>CUSCO-S-N</t>
  </si>
  <si>
    <t>LINARES-ADOLFO</t>
  </si>
  <si>
    <t>LAZO--CONSUELO</t>
  </si>
  <si>
    <t>CALLE-SN--MARTIN-S-N</t>
  </si>
  <si>
    <t>CCAPATINTA-CASTILLA--ASCENCION</t>
  </si>
  <si>
    <t>CALLE-CALVARIO-S-N</t>
  </si>
  <si>
    <t>ARIAS-VARGAS--JOSE</t>
  </si>
  <si>
    <t>CALLE-GRAU---PAMPAMARCA</t>
  </si>
  <si>
    <t>HANCCO-QUISPE--JULIO</t>
  </si>
  <si>
    <t>UNION-S-N</t>
  </si>
  <si>
    <t>CO050032</t>
  </si>
  <si>
    <t>DUENAS-Q-FELICIA</t>
  </si>
  <si>
    <t>CHOSECANI---S-N</t>
  </si>
  <si>
    <t>VILLALOBOS-ESPINOZA--ROQUE</t>
  </si>
  <si>
    <t>AV--TUPAC-AMARU</t>
  </si>
  <si>
    <t>HANCCO-CC-AGUEDO</t>
  </si>
  <si>
    <t>PINEDA-AQUINO--MEDALI</t>
  </si>
  <si>
    <t>C-P-M--CHOSECANI-S-N</t>
  </si>
  <si>
    <t>HUALLAPA-D-VICTOR</t>
  </si>
  <si>
    <t>LAZO-Q-FRANCISCO</t>
  </si>
  <si>
    <t>CO030102</t>
  </si>
  <si>
    <t>HUANCA-C-ELEUTERIO</t>
  </si>
  <si>
    <t>CHACAMAYO---S-N</t>
  </si>
  <si>
    <t>CCAPATINTA-TOMAYCONZA--GREGORI</t>
  </si>
  <si>
    <t>ANEXO-CHACAMAYO--S-N</t>
  </si>
  <si>
    <t>CCAPATINTA-C-SEGUNDO</t>
  </si>
  <si>
    <t>CO040105</t>
  </si>
  <si>
    <t>MAMANI-LABRA--EPIFANIO</t>
  </si>
  <si>
    <t>AV--MICAELA-BASTIDAS-S-N</t>
  </si>
  <si>
    <t>PERIDO-F--PAULINO</t>
  </si>
  <si>
    <t>TUNGASUCA</t>
  </si>
  <si>
    <t>CO040245</t>
  </si>
  <si>
    <t>YUCRA-P--BERNARDO</t>
  </si>
  <si>
    <t>QQUEHUAR</t>
  </si>
  <si>
    <t>CO040248</t>
  </si>
  <si>
    <t>INSTITUCION-EDUCATIVA--56115-C</t>
  </si>
  <si>
    <t>COM-CCOTA-A-S-N</t>
  </si>
  <si>
    <t>CO040249</t>
  </si>
  <si>
    <t>CCAHUANA-H--VICENTE</t>
  </si>
  <si>
    <t>PONGO-A--YANAOCA</t>
  </si>
  <si>
    <t>QUISPE-C--MARIO</t>
  </si>
  <si>
    <t>TAYPE-MEZA-DANIEL</t>
  </si>
  <si>
    <t>QUISPE-QUISPE--TOMAS</t>
  </si>
  <si>
    <t>PONGO-A-S-N-YANAOCA</t>
  </si>
  <si>
    <t>CHAMPI-QUISPE--JOSE-ANTONIO</t>
  </si>
  <si>
    <t>AV-PROGRESO-S-N</t>
  </si>
  <si>
    <t>MUNICIPALIDAD-DEL-C-P-DE-PONGO</t>
  </si>
  <si>
    <t>COMBAPATA</t>
  </si>
  <si>
    <t>HUILLCA-P--JESUS</t>
  </si>
  <si>
    <t>COM--KASKANI</t>
  </si>
  <si>
    <t>INST-EDUCATIVA-56137</t>
  </si>
  <si>
    <t>ESCOBAR-HUILLCA--IGNACIO</t>
  </si>
  <si>
    <t>CO030450</t>
  </si>
  <si>
    <t>CHAMPI-QUISPE--JUAN-BAUTISTA</t>
  </si>
  <si>
    <t>C-C--KASCANI</t>
  </si>
  <si>
    <t>PACHACUTE-MAMANI--JULIO</t>
  </si>
  <si>
    <t>PALOMINO-MAMANI--DAMASO</t>
  </si>
  <si>
    <t>CCOA-PALOMINO--FELICIANO</t>
  </si>
  <si>
    <t>PALOMINO-CCOA--JOSE</t>
  </si>
  <si>
    <t>CO041358</t>
  </si>
  <si>
    <t>CCOA-PALOMINO--MARTIN</t>
  </si>
  <si>
    <t>PITUYO--COM--KASCANI</t>
  </si>
  <si>
    <t>CO041359</t>
  </si>
  <si>
    <t>PALOMINO-KALLE--SATURNINO</t>
  </si>
  <si>
    <t>COM--KASCANI-SECT--CCOYANQUI</t>
  </si>
  <si>
    <t>CO010060</t>
  </si>
  <si>
    <t>VILLAVICENCIO-GONZALES--SIMEON</t>
  </si>
  <si>
    <t>CARRETERA-CUSCO-SICUANI-S-N</t>
  </si>
  <si>
    <t>CO010061</t>
  </si>
  <si>
    <t>HANCCO-M-DEMETRIO</t>
  </si>
  <si>
    <t>FCA-HERRERA---S-N</t>
  </si>
  <si>
    <t>QUISPE-DE-M-MARUJA</t>
  </si>
  <si>
    <t>CONDORI-CH-SIXTO</t>
  </si>
  <si>
    <t>HUANCA--S-N</t>
  </si>
  <si>
    <t>CHALLCO-QUISPE--JULIO</t>
  </si>
  <si>
    <t>SAN-MARTIN-106</t>
  </si>
  <si>
    <t>LLANOS-CH-LUIS</t>
  </si>
  <si>
    <t>MONTESINOS-BACA--CESAR</t>
  </si>
  <si>
    <t>ALEJANDRO-VELASCO--O-11</t>
  </si>
  <si>
    <t>PAIVA-MOGROVEJO--ALEJO</t>
  </si>
  <si>
    <t>CALLE-SUCRE---34</t>
  </si>
  <si>
    <t>TECSI-P-FELIPA</t>
  </si>
  <si>
    <t>TACNA-S-N-</t>
  </si>
  <si>
    <t>CO010062</t>
  </si>
  <si>
    <t>TAINA-LINO</t>
  </si>
  <si>
    <t>SECT-LLIQUINAPAMPA---S-N</t>
  </si>
  <si>
    <t>CO010063</t>
  </si>
  <si>
    <t>QUISPE-AYCA-REYNALDO</t>
  </si>
  <si>
    <t>COMUNIDAD-HUANTURA</t>
  </si>
  <si>
    <t>SALINAS-ORCONI--ALEJANDRO</t>
  </si>
  <si>
    <t>COM-HUANTURA-S-N</t>
  </si>
  <si>
    <t>SALINAS-O--EUGENIA</t>
  </si>
  <si>
    <t>HUANTURA-S-N</t>
  </si>
  <si>
    <t>CO010068</t>
  </si>
  <si>
    <t>QUISPE-TTITO-PABLO</t>
  </si>
  <si>
    <t>SALLOCCA---S-N</t>
  </si>
  <si>
    <t>CO010069</t>
  </si>
  <si>
    <t>CONDORI-N-FRANCISCO</t>
  </si>
  <si>
    <t>C-JAYUBAMBA--S-N</t>
  </si>
  <si>
    <t>CO010066</t>
  </si>
  <si>
    <t>CHOQUE-Q-EUSTAQUIO</t>
  </si>
  <si>
    <t>COM-CHARA</t>
  </si>
  <si>
    <t>CHAMPI-Q-SIMION</t>
  </si>
  <si>
    <t>CHIARA---S-N</t>
  </si>
  <si>
    <t>TTITO-Q-ROMAN</t>
  </si>
  <si>
    <t>NINA-TURPO-LADISLAO</t>
  </si>
  <si>
    <t>COM-CHIARA-S-N-</t>
  </si>
  <si>
    <t>NINA-QUISPE--PAULINA</t>
  </si>
  <si>
    <t>CHICHIRANCA--COM--CHIARA</t>
  </si>
  <si>
    <t>APAZA-QUISPE--TERESA</t>
  </si>
  <si>
    <t>COM--CHIARA-SECT-CHICHIRANCA-S</t>
  </si>
  <si>
    <t>WORLD-VISION--INTERNACIONAL</t>
  </si>
  <si>
    <t>COM-CHIARA---S-N</t>
  </si>
  <si>
    <t>MAMANI-QUISPE--EDGAR</t>
  </si>
  <si>
    <t>SECTOR-UPINA</t>
  </si>
  <si>
    <t>SI031368</t>
  </si>
  <si>
    <t>MAMANI-CONDORI--PIO</t>
  </si>
  <si>
    <t>COM-TUCSA</t>
  </si>
  <si>
    <t>SAN PABLO</t>
  </si>
  <si>
    <t>QUISPE-LISARAZO--ALEJANDRO</t>
  </si>
  <si>
    <t>ASOC--CCACCACUCHO</t>
  </si>
  <si>
    <t>CCORCCA-MAMANI--MODESTO</t>
  </si>
  <si>
    <t>CHECACUPE</t>
  </si>
  <si>
    <t>CO020074</t>
  </si>
  <si>
    <t>SANTA-CRUZ--CANDIA-JOSE</t>
  </si>
  <si>
    <t>UNION---S-N</t>
  </si>
  <si>
    <t>AEDO-PACHECO--HERNAN--RAMIRO</t>
  </si>
  <si>
    <t>TUPAC-AMARU--S-N</t>
  </si>
  <si>
    <t>CO020073</t>
  </si>
  <si>
    <t>LM-MUNICIPAL--CHECACUPE</t>
  </si>
  <si>
    <t>MUNICIPALIDAD-DISTRITAL-CHECAC</t>
  </si>
  <si>
    <t>ANTENA-TV-CHECACUPE</t>
  </si>
  <si>
    <t>CHECACUPE-S-N</t>
  </si>
  <si>
    <t>CCASA-QUISPE-MOISES</t>
  </si>
  <si>
    <t>B-URAYPAMPA-S-N</t>
  </si>
  <si>
    <t>VERA-SUMA--PERCY</t>
  </si>
  <si>
    <t>ERAZO-DURAN--MARISOL</t>
  </si>
  <si>
    <t>TUPAC-AMARU--S-N-CHECACUPE</t>
  </si>
  <si>
    <t>CLUB-D-MUJERES-V-DEL-CARM</t>
  </si>
  <si>
    <t>PLAZA-D-ARMAS-CHECACUPE</t>
  </si>
  <si>
    <t>MUNICIPALIDAD-DIST--CHECACUPE-</t>
  </si>
  <si>
    <t>AV--CENTRAL-S-N</t>
  </si>
  <si>
    <t>CO020075</t>
  </si>
  <si>
    <t>MONTALVO-NAVARRO--DANIEL</t>
  </si>
  <si>
    <t>LLOQUE-YUPANQUI-S-N</t>
  </si>
  <si>
    <t>MALDONADO-A-TEODORO</t>
  </si>
  <si>
    <t>CANGALLE</t>
  </si>
  <si>
    <t>CO020362</t>
  </si>
  <si>
    <t>CUEVA-CCASA-HUGO</t>
  </si>
  <si>
    <t>COM-SUTTOC</t>
  </si>
  <si>
    <t>COMUNIDAD-SUTTOC</t>
  </si>
  <si>
    <t>SUTTOC</t>
  </si>
  <si>
    <t>CO011394</t>
  </si>
  <si>
    <t>MAQQUE-APAZA--LUCIANO</t>
  </si>
  <si>
    <t>COM--PALCCOYO-URAPAMPA</t>
  </si>
  <si>
    <t>CO021301</t>
  </si>
  <si>
    <t>HUANCA-CUSIHUATA--BENEDICTA</t>
  </si>
  <si>
    <t>MISKIUNUYOC</t>
  </si>
  <si>
    <t>CO020079</t>
  </si>
  <si>
    <t>LUQUE-Y-CIPRIAN</t>
  </si>
  <si>
    <t>JR-MERIS-II---S-N</t>
  </si>
  <si>
    <t>ZEVALLOS-H-GRACIANO</t>
  </si>
  <si>
    <t>CONDOROPA-Q-MARIANO</t>
  </si>
  <si>
    <t>PALOMINO-BERRIOS--PAULINA</t>
  </si>
  <si>
    <t>COM--LLOCLLORA</t>
  </si>
  <si>
    <t>CCANCHI-C-ALEJA</t>
  </si>
  <si>
    <t>MACHACA-A-DAMIAN</t>
  </si>
  <si>
    <t>LLOCLLORA-S-N-</t>
  </si>
  <si>
    <t>CASTILLA-B-AURORA</t>
  </si>
  <si>
    <t>PITUMARCA</t>
  </si>
  <si>
    <t>CO020078</t>
  </si>
  <si>
    <t>ASC-TEJ-MUNAY-TIKLLA</t>
  </si>
  <si>
    <t>CIRCUMVALACION-S-N</t>
  </si>
  <si>
    <t>CCOPA-LOPEZ-REMIGIA</t>
  </si>
  <si>
    <t>TUPAC-AMARU---108</t>
  </si>
  <si>
    <t>CO020076</t>
  </si>
  <si>
    <t>ERAZO-QUISPE--LEONARDO</t>
  </si>
  <si>
    <t>PITUMARCA-S-N-</t>
  </si>
  <si>
    <t>HUAMAN-CCAMA--JUAN</t>
  </si>
  <si>
    <t>AV-NICOLAS-DE-PIEROLA-S-N</t>
  </si>
  <si>
    <t>JARA-VENGOA--LILIANA-JOSEFA</t>
  </si>
  <si>
    <t>CARRETERA-MACHUPITUMARCA</t>
  </si>
  <si>
    <t>CO020077</t>
  </si>
  <si>
    <t>HUANCACHOQUE-L-MARCELINO</t>
  </si>
  <si>
    <t>GARCILASO-107-QUIQUIJANA</t>
  </si>
  <si>
    <t>HUALLIPE-M-SARITA-A-</t>
  </si>
  <si>
    <t>URB-SANTIAGO-PAMPACHIRI</t>
  </si>
  <si>
    <t>ROJO-GONZALO--PATRICIO</t>
  </si>
  <si>
    <t>COLON--S-N</t>
  </si>
  <si>
    <t>CONDORI-BUSTAMANTE--MARIO</t>
  </si>
  <si>
    <t>JR--LOS-ANDES---274</t>
  </si>
  <si>
    <t>CO021470</t>
  </si>
  <si>
    <t>TUNQUI-DE-HUAMAN--ANDREA</t>
  </si>
  <si>
    <t>JR--BELEN</t>
  </si>
  <si>
    <t>CO021297</t>
  </si>
  <si>
    <t>HUAYTA-QUISPE--ISMAEL</t>
  </si>
  <si>
    <t>ANEXO-NUEVA-LIBERTAD</t>
  </si>
  <si>
    <t>CO021292</t>
  </si>
  <si>
    <t>CONDORI-YUCRA--ELISEO</t>
  </si>
  <si>
    <t>ZEA</t>
  </si>
  <si>
    <t>CO021296</t>
  </si>
  <si>
    <t>CHOQQUE-CHOQQUE--DANIEL</t>
  </si>
  <si>
    <t>OSEFINA</t>
  </si>
  <si>
    <t>CO021294</t>
  </si>
  <si>
    <t>QUISPE-QUISPE--TEODORO</t>
  </si>
  <si>
    <t>CONGUMIRE</t>
  </si>
  <si>
    <t>CO050169</t>
  </si>
  <si>
    <t>CHAISA-Q-BERNARDINO</t>
  </si>
  <si>
    <t>CHORRILLOS-S-N-SAN-PABLO</t>
  </si>
  <si>
    <t>CO050170</t>
  </si>
  <si>
    <t>QUISPE-CHAMPI--JUAN</t>
  </si>
  <si>
    <t>PLAZA-DE-ABASTOS--S-N</t>
  </si>
  <si>
    <t>CO050168</t>
  </si>
  <si>
    <t>PALOMINO-BANDA--ROGER</t>
  </si>
  <si>
    <t>PELIGRO-E1-3</t>
  </si>
  <si>
    <t>MAMANI-TITO-EFRAIN</t>
  </si>
  <si>
    <t>PELIGRO-PANAMERICANA-S-N</t>
  </si>
  <si>
    <t>LLANOS-CHALLCO-GELY</t>
  </si>
  <si>
    <t>AV-LEGUIA-S-N</t>
  </si>
  <si>
    <t>CCORIMANYA-WILFREDO</t>
  </si>
  <si>
    <t>CHORRILLOS-S-N</t>
  </si>
  <si>
    <t>CO050655</t>
  </si>
  <si>
    <t>PACCO-SICCOS--SATURNINA</t>
  </si>
  <si>
    <t>ANEXO-SURUHUAYLLA-S-N</t>
  </si>
  <si>
    <t>MAMANI-MARTINEZ--VICTOR</t>
  </si>
  <si>
    <t>ANEXO-SURUHAYLLA-S-N</t>
  </si>
  <si>
    <t>HUICHI-DE-PUMA--VICTORIA</t>
  </si>
  <si>
    <t>COM-SURUHUAYLLA--S-N</t>
  </si>
  <si>
    <t>CO050172</t>
  </si>
  <si>
    <t>SUYO-CHOQUE--MAURO</t>
  </si>
  <si>
    <t>COMCHARA-S-N</t>
  </si>
  <si>
    <t>QUENAYA-OLLACHICA--ROSAIRA</t>
  </si>
  <si>
    <t>SECTOR-CCASAPAMPA--CHARA</t>
  </si>
  <si>
    <t>SAN PEDRO</t>
  </si>
  <si>
    <t>CO050166</t>
  </si>
  <si>
    <t>FLORES-EMILIANO</t>
  </si>
  <si>
    <t>DELGADO-QUINONES-AURELIA</t>
  </si>
  <si>
    <t>PUMA-VDA-DE-C-SEGUND</t>
  </si>
  <si>
    <t>PLZA-DE-ARMAS---511</t>
  </si>
  <si>
    <t>ALENCASTRE-CUNO--ELMER-FIDEL</t>
  </si>
  <si>
    <t>CO050167</t>
  </si>
  <si>
    <t>AROSQUIPA-CUMPA--ALDO</t>
  </si>
  <si>
    <t>SAN-ISIDRO-S-N</t>
  </si>
  <si>
    <t>CHOQUEVILCA-A-RAMON</t>
  </si>
  <si>
    <t>SAN-ISIDRO---S-N</t>
  </si>
  <si>
    <t>CO050158</t>
  </si>
  <si>
    <t>MAMANI-A-EXALTACION</t>
  </si>
  <si>
    <t>COMU-DE-RAQCHI---S-N</t>
  </si>
  <si>
    <t>CO050164</t>
  </si>
  <si>
    <t>QUISPE-INCA-HERNAN</t>
  </si>
  <si>
    <t>COM-QUEA-SECT-CCOSCCORA</t>
  </si>
  <si>
    <t>HUILLCAHUAMAN-VELIZ--JESUS</t>
  </si>
  <si>
    <t>COM-QQUEA-S-N</t>
  </si>
  <si>
    <t>QUISPE-H-HERNAN</t>
  </si>
  <si>
    <t>QUEA---S-N</t>
  </si>
  <si>
    <t>CO050163</t>
  </si>
  <si>
    <t>CAHUANA-QUISPE-ALBERTO</t>
  </si>
  <si>
    <t>COMUNIDAD-PICHURA</t>
  </si>
  <si>
    <t>TINTA</t>
  </si>
  <si>
    <t>CO050035</t>
  </si>
  <si>
    <t>TORRES-M-GRACIELA</t>
  </si>
  <si>
    <t>PLAZA-DE-ARMAS-128</t>
  </si>
  <si>
    <t>CO050375</t>
  </si>
  <si>
    <t>LLALLA-DELGADO--VICTOR</t>
  </si>
  <si>
    <t>BOLOGNESI--405</t>
  </si>
  <si>
    <t>CORRALES-GAYONA-COSME</t>
  </si>
  <si>
    <t>MAMANI-MAMANI--HILAR</t>
  </si>
  <si>
    <t>BAUTISTA-CH-JUAN-DE</t>
  </si>
  <si>
    <t>JOSE-TURNER---S-N</t>
  </si>
  <si>
    <t>LAURA-CH--JUSTINIANO</t>
  </si>
  <si>
    <t>JOSE-TURNER-S-N</t>
  </si>
  <si>
    <t>HUANCACHOQUE-TICONA</t>
  </si>
  <si>
    <t>CO050034</t>
  </si>
  <si>
    <t>TICONA-MAMANI--SIMON</t>
  </si>
  <si>
    <t>DESAMPARADOS-S-N</t>
  </si>
  <si>
    <t>CONZA-LAURA-BERNABE</t>
  </si>
  <si>
    <t>MARISCAL-CASTILLA--S-N</t>
  </si>
  <si>
    <t>TICONA-MAMANI--JUAN</t>
  </si>
  <si>
    <t>MIGUEL-GRAU-S-N</t>
  </si>
  <si>
    <t>C-E--S-CHORRILLOS</t>
  </si>
  <si>
    <t>AREQUIPA-S-N</t>
  </si>
  <si>
    <t>CUENTAS-CH-SEVERO-D-</t>
  </si>
  <si>
    <t>MANYA-TTITO-PEDRO-P-</t>
  </si>
  <si>
    <t>CLORINDA-MATTO-375-TINTA</t>
  </si>
  <si>
    <t>PUMACHOQUE-VALVERDE--ALFONSO</t>
  </si>
  <si>
    <t>CALLE-LIMA-N-756</t>
  </si>
  <si>
    <t>ESPINOZA-CAZORLA--JA</t>
  </si>
  <si>
    <t>TITO-CONDEMAYTA-S-N</t>
  </si>
  <si>
    <t>IWARAKI-YUYARINA-ISRAEL</t>
  </si>
  <si>
    <t>M-BASTIDAS-S-N--TINTA</t>
  </si>
  <si>
    <t>CO050374</t>
  </si>
  <si>
    <t>CHOQUE-BUSTINZA--FREDY</t>
  </si>
  <si>
    <t>CALLE-JOSE-GABRIEL-CONDORCANQU</t>
  </si>
  <si>
    <t>DELGADO-LAURA-AURELIA</t>
  </si>
  <si>
    <t>ASC-SAN-ISIDRO-A-8</t>
  </si>
  <si>
    <t>CO050639</t>
  </si>
  <si>
    <t>RAMOS-LIZARASO-JUANA</t>
  </si>
  <si>
    <t>B-SAN-LUIS</t>
  </si>
  <si>
    <t>CO050640</t>
  </si>
  <si>
    <t>HUAMAN-AYMACHOQUE--PABLO</t>
  </si>
  <si>
    <t>BARRIO-SANTA-ANA--S-N</t>
  </si>
  <si>
    <t>HUAMAN-L-CELESTINO</t>
  </si>
  <si>
    <t>B-SANTA-ANA-S-N</t>
  </si>
  <si>
    <t>CO050156</t>
  </si>
  <si>
    <t>CONSA-M-ISIDRO</t>
  </si>
  <si>
    <t>TINTA---S-N</t>
  </si>
  <si>
    <t>I-E-INICIAL--609---MACHACMARCA</t>
  </si>
  <si>
    <t>COM--MACHACMARCA</t>
  </si>
  <si>
    <t>CO050161</t>
  </si>
  <si>
    <t>CCASA-DE-CCASA--MARIA</t>
  </si>
  <si>
    <t>B--URPAYA-COM--QUEROMARCA</t>
  </si>
  <si>
    <t>CO050159</t>
  </si>
  <si>
    <t>CCAHUANTICO-BERNABE</t>
  </si>
  <si>
    <t>BARRIO-SAMATA--S-N</t>
  </si>
  <si>
    <t>CAHUANTICO-L-JUSTINO</t>
  </si>
  <si>
    <t>B-ZAMATA-QUEROMARCA</t>
  </si>
  <si>
    <t>CO050162</t>
  </si>
  <si>
    <t>MAMANI-COLQUE--FELIX-JULIAN</t>
  </si>
  <si>
    <t>COM-QUEROMARCA</t>
  </si>
  <si>
    <t>ORUE-C-INDALECIO</t>
  </si>
  <si>
    <t>CCALASAYA---S-N</t>
  </si>
  <si>
    <t>HUAMAN-CCOLQUE-SANTOS</t>
  </si>
  <si>
    <t>CCALASAYA---QUEROMARCA</t>
  </si>
  <si>
    <t>CAHUANTICO-PETRONILA</t>
  </si>
  <si>
    <t>BARRIO-CCALASAYA---S-N</t>
  </si>
  <si>
    <t>PILLPINTO</t>
  </si>
  <si>
    <t>CO030151</t>
  </si>
  <si>
    <t>QUI-ONES-V-EULOGIO</t>
  </si>
  <si>
    <t>CCAPA--S-N</t>
  </si>
  <si>
    <t>CARPIO-S-ANTONIO</t>
  </si>
  <si>
    <t>ACCHA</t>
  </si>
  <si>
    <t>CO030150</t>
  </si>
  <si>
    <t>NUNEZ-B-SAUL</t>
  </si>
  <si>
    <t>CO030149</t>
  </si>
  <si>
    <t>CHACON-DE-LUNA--ANTONIA</t>
  </si>
  <si>
    <t>CALLE-CENIZA-S-N</t>
  </si>
  <si>
    <t>CHACON-F-FERMIN</t>
  </si>
  <si>
    <t>R-CASTILLA---S-N</t>
  </si>
  <si>
    <t>GARATE-ORDO-EZ--JOSE-LUIS</t>
  </si>
  <si>
    <t>TUPAC--AMARU---S-N</t>
  </si>
  <si>
    <t>TORRES-ORTEGA--TERESA</t>
  </si>
  <si>
    <t>CALLE-TUPAC-AMRU-S-N</t>
  </si>
  <si>
    <t>BARRIENTOS-QUISPE--CLENE</t>
  </si>
  <si>
    <t>CALLE-PACHAPUJIO-S-N</t>
  </si>
  <si>
    <t>SANCHEZ-CORDOVA--PAULINA</t>
  </si>
  <si>
    <t>CALLE-SANTA-ANA</t>
  </si>
  <si>
    <t>SAVIO-GILARDI--VITTORIA</t>
  </si>
  <si>
    <t>GARCILASO---S-N</t>
  </si>
  <si>
    <t>GUTIERREZ-TORRE--FELIX</t>
  </si>
  <si>
    <t>CCASANI-CCORICHALLHUA--GUIDO</t>
  </si>
  <si>
    <t>AV--GARCILASO-14-Y</t>
  </si>
  <si>
    <t>JANCCO-C-BERNARDINO</t>
  </si>
  <si>
    <t>SIHUINA---S-N</t>
  </si>
  <si>
    <t>SALDIVAR-CCASANI--HENRY</t>
  </si>
  <si>
    <t>CALLE-TUPAC-AMARU-S-N</t>
  </si>
  <si>
    <t>SARATE-O-MARIO</t>
  </si>
  <si>
    <t>CO030148</t>
  </si>
  <si>
    <t>VALVERDE-RENE</t>
  </si>
  <si>
    <t>BARRIO-LLOQUE---S-N</t>
  </si>
  <si>
    <t>CRUZ-JORDAN--JUAN-CANCIO</t>
  </si>
  <si>
    <t>SECTOR-YARCCAPATA</t>
  </si>
  <si>
    <t>CO030642</t>
  </si>
  <si>
    <t>QUISPE-PACCO-SANTOS</t>
  </si>
  <si>
    <t>ACCHUPAMPA-H-1</t>
  </si>
  <si>
    <t>SENCIA-SAPACAYO--SANTIAGO</t>
  </si>
  <si>
    <t>CALLE-ULLPO-S-N</t>
  </si>
  <si>
    <t>QUINTANO-CHOCCATA--DORA</t>
  </si>
  <si>
    <t>COMUNIDAD-ACCHUPAMPA-S-N</t>
  </si>
  <si>
    <t>CO030152</t>
  </si>
  <si>
    <t>HUALLPATOIRO-H--SEGUNDINO</t>
  </si>
  <si>
    <t>CORMA--ACOMAYO</t>
  </si>
  <si>
    <t>MAMANI-LIMA-ELOY</t>
  </si>
  <si>
    <t>AV-ESPINAR-CORMA</t>
  </si>
  <si>
    <t>CO030713</t>
  </si>
  <si>
    <t>QUISPE-BORDA--HONORATO</t>
  </si>
  <si>
    <t>BELLAVISTA-S-N</t>
  </si>
  <si>
    <t>CO030716</t>
  </si>
  <si>
    <t>CARRION-LEON--RICARDINA</t>
  </si>
  <si>
    <t>COM-PFOCCORHUAY-S-N</t>
  </si>
  <si>
    <t>DELGADO-GAMEZ--FRANCISCA</t>
  </si>
  <si>
    <t>SECTOR-SANTA-BARBARA</t>
  </si>
  <si>
    <t>CO031379</t>
  </si>
  <si>
    <t>HANCCO-SALCEDO--JUANA</t>
  </si>
  <si>
    <t>KISKACANCHA</t>
  </si>
  <si>
    <t>CO031385</t>
  </si>
  <si>
    <t>SAMATA-HUAMANI--DANIEL</t>
  </si>
  <si>
    <t>TAMBO</t>
  </si>
  <si>
    <t>CHILO-GONZALES--URBANO</t>
  </si>
  <si>
    <t>SAIRE-DAZA--CIRILA</t>
  </si>
  <si>
    <t>CO031384</t>
  </si>
  <si>
    <t>CATARI-PACHECO--AGRIPINO</t>
  </si>
  <si>
    <t>PACCO</t>
  </si>
  <si>
    <t>CARRASCO-PUELLES--CLEMENTE</t>
  </si>
  <si>
    <t>CO030147</t>
  </si>
  <si>
    <t>PAZ-PE-A-ANTONIO</t>
  </si>
  <si>
    <t>C-PERU-S-N-PILLPINTO</t>
  </si>
  <si>
    <t>SANTA-C-ELGUERA-BENI</t>
  </si>
  <si>
    <t>AV-PERU---S-N</t>
  </si>
  <si>
    <t>CO031997</t>
  </si>
  <si>
    <t>C-E--50362</t>
  </si>
  <si>
    <t>AV-PERU-PILLPINTO</t>
  </si>
  <si>
    <t>MUNICIPALIDAD-DISTRITAL-DE-PIL</t>
  </si>
  <si>
    <t>PLAZA-DE-ARMAS-PILLPINTO-S-N</t>
  </si>
  <si>
    <t>FIGUEROA-G-GERARDO</t>
  </si>
  <si>
    <t>BARRIENTOS-G-AGUSTINA</t>
  </si>
  <si>
    <t>TAPIA-D-ARISTIDES</t>
  </si>
  <si>
    <t>CANDIA-VDA-DE-TAPIA</t>
  </si>
  <si>
    <t>TAPIA-VDA-DE-CANDIA--PLACIDA</t>
  </si>
  <si>
    <t>CALLE-PORTUGUEZ-S-N</t>
  </si>
  <si>
    <t>CARPIO-BELLOTA--NEMECIO</t>
  </si>
  <si>
    <t>PORTUGUEZ-15</t>
  </si>
  <si>
    <t>CANDIA-Q-AGRIPINA</t>
  </si>
  <si>
    <t>PORTUGUEZ---S-N</t>
  </si>
  <si>
    <t>CANDIA-DELGADO--BONIFACIO</t>
  </si>
  <si>
    <t>LOS-PORTUGUESES--S-N</t>
  </si>
  <si>
    <t>GUZMAN-C-EFRAIN</t>
  </si>
  <si>
    <t>ENRRIQUEZ-TAPIA-WUALTER-M</t>
  </si>
  <si>
    <t>T--AMARU-PILLPINTO</t>
  </si>
  <si>
    <t>PACCO-C-JOSE</t>
  </si>
  <si>
    <t>AV-SAN-MARTIN---S-N</t>
  </si>
  <si>
    <t>CANDIA-DELGADO--GREGORIO</t>
  </si>
  <si>
    <t>C--COLON-INTERIOR-LT--7</t>
  </si>
  <si>
    <t>MUNICIPIO-DIST---PILLPINTO</t>
  </si>
  <si>
    <t>PLAZA-DE-ARMAS-PILLPINTO</t>
  </si>
  <si>
    <t>COMEDOR-INFANTIL</t>
  </si>
  <si>
    <t>MUNIC--DIST-PILLPINT</t>
  </si>
  <si>
    <t>DIST-PILPINTO-S-N-</t>
  </si>
  <si>
    <t>GUZMAN-C-JUAN</t>
  </si>
  <si>
    <t>PACHACUTEC---S-N</t>
  </si>
  <si>
    <t>VALER-G-VICENTE</t>
  </si>
  <si>
    <t>JR-LIBERTAD---S-N</t>
  </si>
  <si>
    <t>GUTIERREZ-C-VICTOR-E-</t>
  </si>
  <si>
    <t>AV-PERU-S-N</t>
  </si>
  <si>
    <t>CO030663</t>
  </si>
  <si>
    <t>CANDIA-OVIEDO--TIMOTEA</t>
  </si>
  <si>
    <t>ROSASPATA-S-N</t>
  </si>
  <si>
    <t>CANDIA-DE-CRUZ--PLACIDA</t>
  </si>
  <si>
    <t>CHUNCHULLMAYO-S-N</t>
  </si>
  <si>
    <t>CASTRO-TAPIA--SANTIAGO</t>
  </si>
  <si>
    <t>C--LIBERTAD-S-N--TAUCABAMBA</t>
  </si>
  <si>
    <t>CARPIO-CANDIA--ELENA</t>
  </si>
  <si>
    <t>JR-PALMA-S-N</t>
  </si>
  <si>
    <t>CANDIA-CARPIO--TIMOTEO</t>
  </si>
  <si>
    <t>CARRASCO-TAPIA--TELESFORO</t>
  </si>
  <si>
    <t>C--PALMA-TAUCABAMBA-S-N</t>
  </si>
  <si>
    <t>CANDIA-MEDINA--REYDER</t>
  </si>
  <si>
    <t>ROSALINAS-S-N</t>
  </si>
  <si>
    <t>CANDIA-CARPIO--JUAN</t>
  </si>
  <si>
    <t>PALMA-S-N-TAUCCABAMBA</t>
  </si>
  <si>
    <t>CUSIPATA</t>
  </si>
  <si>
    <t>CO020086</t>
  </si>
  <si>
    <t>LAURA-CONZA--NATIVIDAD</t>
  </si>
  <si>
    <t>COM--PARUPUJIO</t>
  </si>
  <si>
    <t>ROCCA-L-JULIA</t>
  </si>
  <si>
    <t>PARUPUCYO---S-N</t>
  </si>
  <si>
    <t>BOCANGEL-CC-EDUBIGES</t>
  </si>
  <si>
    <t>QUIQUIJANA</t>
  </si>
  <si>
    <t>CO020912</t>
  </si>
  <si>
    <t>CA-ARI-TTUPA--FRANCISCO</t>
  </si>
  <si>
    <t>SACHAC-BAJO</t>
  </si>
  <si>
    <t>CO020913</t>
  </si>
  <si>
    <t>IGLESIA-MARANATA-SACHAC-ALTO</t>
  </si>
  <si>
    <t>COMUNIDAD-SACHAC-ALTO</t>
  </si>
  <si>
    <t>QUISPE-CCANASI--FORTUNATO</t>
  </si>
  <si>
    <t>SECT--CCAUCHANI-C-C-PATA-SACHA</t>
  </si>
  <si>
    <t>GUTIERRES-CA-ARI--NICOMEDES</t>
  </si>
  <si>
    <t>CA-ARI-TUPA--TOMAS</t>
  </si>
  <si>
    <t>GUTIERREZ-QUISPE--MIGUEL</t>
  </si>
  <si>
    <t>CO020082</t>
  </si>
  <si>
    <t>ACERO-MAZA-JUAN</t>
  </si>
  <si>
    <t>VIGNATTI-S-N-</t>
  </si>
  <si>
    <t>CO020083</t>
  </si>
  <si>
    <t>DAVALOS-V-MARTIN</t>
  </si>
  <si>
    <t>CALLE-JUNIN-S-N-</t>
  </si>
  <si>
    <t>QUISPE-YAURI--FRANKLIN</t>
  </si>
  <si>
    <t>CAPULICHAYOC-S-N</t>
  </si>
  <si>
    <t>AUCCATINCO-C-LUCIO</t>
  </si>
  <si>
    <t>CALLE-NUEVA---S-N</t>
  </si>
  <si>
    <t>VILLA-H-EUGENIA</t>
  </si>
  <si>
    <t>C-HUAYNA-CCAPAC---S-N</t>
  </si>
  <si>
    <t>ILLAPUMA-CONDORI--PEDRO</t>
  </si>
  <si>
    <t>CALLE-ALIPIO-YABAR-S-N</t>
  </si>
  <si>
    <t>CARDENAS-YUPANQUI--EDGARD</t>
  </si>
  <si>
    <t>C-PANAMERICANA-CUSIPATA</t>
  </si>
  <si>
    <t>MACEDO-CHILLAHUANI--ELMER</t>
  </si>
  <si>
    <t>COM--PAUCARPATA</t>
  </si>
  <si>
    <t>CO020087</t>
  </si>
  <si>
    <t>CAPILLA--PRINCIPAL-MOCCORAISE</t>
  </si>
  <si>
    <t>COM--MOCCORAISE</t>
  </si>
  <si>
    <t>CCAMA-C-DRAUDIA</t>
  </si>
  <si>
    <t>MOCORASI---S-N</t>
  </si>
  <si>
    <t>VEGA-LIMA--OLINDA</t>
  </si>
  <si>
    <t>MOCCORAYSI</t>
  </si>
  <si>
    <t>ARMUTO-GUERRA--EDUVIGES</t>
  </si>
  <si>
    <t>COM-MOCCORAISE-S-N</t>
  </si>
  <si>
    <t>ARMUTO-GUERRA-EDUVIGES</t>
  </si>
  <si>
    <t>CO020088</t>
  </si>
  <si>
    <t>CCASA-A--LEON</t>
  </si>
  <si>
    <t>MOCORASI-S-N</t>
  </si>
  <si>
    <t>CCASA-PUMA--ELVINA</t>
  </si>
  <si>
    <t>INSTITUCION--EDUCATIVA--INICIA</t>
  </si>
  <si>
    <t>CO020081</t>
  </si>
  <si>
    <t>OCHOA-A-MARCELINO</t>
  </si>
  <si>
    <t>YAUCAT---S-N</t>
  </si>
  <si>
    <t>VALENZUELA-O-ADRIAN</t>
  </si>
  <si>
    <t>CO020080</t>
  </si>
  <si>
    <t>MELO-MAZA--EDGAR</t>
  </si>
  <si>
    <t>COM--SAN-ISIDRO-OCCOBAMBA-SUR</t>
  </si>
  <si>
    <t>QUEVEDO-R-JOSE</t>
  </si>
  <si>
    <t>OCCOBAMBA---S-N</t>
  </si>
  <si>
    <t>CCARI-L-APOLINARIO</t>
  </si>
  <si>
    <t>CO020915</t>
  </si>
  <si>
    <t>HUAYLLA-HUAYLLA</t>
  </si>
  <si>
    <t>QUISPE-CHOQUEHUANCA--BASILIO</t>
  </si>
  <si>
    <t>COM--HUAYLLA-HUAYLLA</t>
  </si>
  <si>
    <t>CO021326</t>
  </si>
  <si>
    <t>HUILLCA-HOLGADO--LAURIANO</t>
  </si>
  <si>
    <t>MANCURAN</t>
  </si>
  <si>
    <t>CO021319</t>
  </si>
  <si>
    <t>SONCCO-MAMANI--GUSTAVO</t>
  </si>
  <si>
    <t>CANCHA-CANCHA-CENTRAL</t>
  </si>
  <si>
    <t>QUISPE-HOLGADO--CECILIO</t>
  </si>
  <si>
    <t>B-CENTRAL-COM-PATAQQUEHUAR</t>
  </si>
  <si>
    <t>HUARCA-TARACAYA--ESTEBAN</t>
  </si>
  <si>
    <t>COM--PATAQQUEHAR-S-N</t>
  </si>
  <si>
    <t>YUCA-QUISPE--JULIO</t>
  </si>
  <si>
    <t>CCOA-MAMANI--WALTER</t>
  </si>
  <si>
    <t>TTITO-CURI--TIMOTEA</t>
  </si>
  <si>
    <t>COM--PATA-QQUEHUAR</t>
  </si>
  <si>
    <t>CO021324</t>
  </si>
  <si>
    <t>TARACAYA-CCAMA--ROSALIO</t>
  </si>
  <si>
    <t>ANTALLACTA</t>
  </si>
  <si>
    <t>CO021323</t>
  </si>
  <si>
    <t>ATACO-SONCCO--EBARISTA</t>
  </si>
  <si>
    <t>TINCO-LLACTA</t>
  </si>
  <si>
    <t>CO021320</t>
  </si>
  <si>
    <t>PACCO-QUISPE--JULIO</t>
  </si>
  <si>
    <t>PUMAHUASI</t>
  </si>
  <si>
    <t>LAURA-SONCCO--PASCUALA</t>
  </si>
  <si>
    <t>ANEXO-HUADHUA--PATAQUEHUAR</t>
  </si>
  <si>
    <t>CO020877</t>
  </si>
  <si>
    <t>HUAMAN-MARIN--JUAN-DE-LA-CRUZ</t>
  </si>
  <si>
    <t>USI</t>
  </si>
  <si>
    <t>SAMATA-PACCO--CARLOS</t>
  </si>
  <si>
    <t>PACCO-CCAMA--RICARDO</t>
  </si>
  <si>
    <t>PACCO-TAI-A--MODESTO</t>
  </si>
  <si>
    <t>CO021017</t>
  </si>
  <si>
    <t>CONDORI-HUARACCONI--SILVESTRE</t>
  </si>
  <si>
    <t>CCASAPAMPA</t>
  </si>
  <si>
    <t>CO020911</t>
  </si>
  <si>
    <t>CONDORI-CHAMPI--DAMIANA</t>
  </si>
  <si>
    <t>COM--LLAMPA</t>
  </si>
  <si>
    <t>PFOCCO-LUYCHO--LUISA</t>
  </si>
  <si>
    <t>LLAMPA</t>
  </si>
  <si>
    <t>QUISPE-TTITO--DOMINGA</t>
  </si>
  <si>
    <t>LUYCHO-LAURA--ROBERTO</t>
  </si>
  <si>
    <t>SECT--CCOLLPACCUCHO-C-C-LLAMPA</t>
  </si>
  <si>
    <t>CO020093</t>
  </si>
  <si>
    <t>YUCRA-QUISPE--SINFOROSA-</t>
  </si>
  <si>
    <t>CALLE-PASION-</t>
  </si>
  <si>
    <t>SOLANO-V--NIEVES</t>
  </si>
  <si>
    <t>PASION-S-N</t>
  </si>
  <si>
    <t>CO020094</t>
  </si>
  <si>
    <t>LUYCHO-CCOA--LUCIANA</t>
  </si>
  <si>
    <t>AV-SAN-MARTIN--F-12</t>
  </si>
  <si>
    <t>CURASI-MAMANI--ADRIAN</t>
  </si>
  <si>
    <t>CALLE-FRANCISCO-BOLOGNESI-S-N</t>
  </si>
  <si>
    <t>CLARA-NINA-MONTALVO</t>
  </si>
  <si>
    <t>AV--SAN-MARTIN---62</t>
  </si>
  <si>
    <t>CACERES-CH--JOSE</t>
  </si>
  <si>
    <t>SAN-MARTIN-S-N</t>
  </si>
  <si>
    <t>PUMA-YUCRA--ANTONIO</t>
  </si>
  <si>
    <t>AV--SAN-MARTIN-LOTE-11</t>
  </si>
  <si>
    <t>MONTALVO--ENCARNACIO</t>
  </si>
  <si>
    <t>PIZARRO-S-N</t>
  </si>
  <si>
    <t>QUISPE--EUFRACIO</t>
  </si>
  <si>
    <t>ESPINAR-S-N</t>
  </si>
  <si>
    <t>MAMANI-PFOCCO--VICTOR</t>
  </si>
  <si>
    <t>CHURO-SUTTA--WALTER</t>
  </si>
  <si>
    <t>A-P-V--TUPAC-AMARU</t>
  </si>
  <si>
    <t>RODRIGUEZ--JOSEFA</t>
  </si>
  <si>
    <t>COLON-S-N</t>
  </si>
  <si>
    <t>CASAFRANCA--RUBEN</t>
  </si>
  <si>
    <t>PUMA--SIMONA</t>
  </si>
  <si>
    <t>MENDOZA-S-N</t>
  </si>
  <si>
    <t>SANTOS-V--CIRILA</t>
  </si>
  <si>
    <t>OLIVERA-DE-MAMANI--ALEJANDRINA</t>
  </si>
  <si>
    <t>CALLE-MENDOZA-S-N</t>
  </si>
  <si>
    <t>QUISPE-F--CLEMENTE</t>
  </si>
  <si>
    <t>SUAREZ-S-N</t>
  </si>
  <si>
    <t>UGARTE-QUISPE--PEDRO</t>
  </si>
  <si>
    <t>PASION-E-2</t>
  </si>
  <si>
    <t>SERRANO-N--RICARDO</t>
  </si>
  <si>
    <t>MELGAR---S-N</t>
  </si>
  <si>
    <t>CO020095</t>
  </si>
  <si>
    <t>MONTA-EZ-TTITO--JUAN</t>
  </si>
  <si>
    <t>FERROCARRIL-S-N-QUIQUIJAN</t>
  </si>
  <si>
    <t>I-S-P--H-ZEVALLOS-G-</t>
  </si>
  <si>
    <t>CCANIHUA-IMA--ROBERTO</t>
  </si>
  <si>
    <t>URB-1RO-DE-MAYO--C-2</t>
  </si>
  <si>
    <t>CCAMA-QUISPE-PASCUAL</t>
  </si>
  <si>
    <t>ILLANTINCO-CCOLQUE--CIPRIANO</t>
  </si>
  <si>
    <t>CALLE-FRANCISCO-BOLOGNESI</t>
  </si>
  <si>
    <t>CCOLQQUE-CCALASANI--CATALINA</t>
  </si>
  <si>
    <t>C-C--CERA-CERA--SECTOR-CONCHUP</t>
  </si>
  <si>
    <t>CCOA-CCOA--FERNANDO</t>
  </si>
  <si>
    <t>C-C--CERA-CERA-</t>
  </si>
  <si>
    <t>CCOLQUE-NOA--TOMASA</t>
  </si>
  <si>
    <t>QUISPE-CCANASE--MATEO</t>
  </si>
  <si>
    <t>C-C--HAYUNI</t>
  </si>
  <si>
    <t>YUPANQUI-GUTIERREZ--ENCARNACIO</t>
  </si>
  <si>
    <t>CONDORI-MAMANI--ZENON</t>
  </si>
  <si>
    <t>YUPANQUI-GUTIERREZ--GREGORIO</t>
  </si>
  <si>
    <t>CCOLQUE-YUPANQUI--PAULA</t>
  </si>
  <si>
    <t>C-C-HAYUNI-SECT--QUELLO-CCOCHA</t>
  </si>
  <si>
    <t>MELO-VICENTE--FERMIN</t>
  </si>
  <si>
    <t>MAMANI-YAPURA--IGNACIA</t>
  </si>
  <si>
    <t>MELO-MAMANI--AQUILINO</t>
  </si>
  <si>
    <t>CO020096</t>
  </si>
  <si>
    <t>SUTTA-HUILLCA--SEBASTIAN</t>
  </si>
  <si>
    <t>COM-ACCOPATA-S-N-</t>
  </si>
  <si>
    <t>VITORINO-Q-VICTOR</t>
  </si>
  <si>
    <t>ACCOPATA---S-N</t>
  </si>
  <si>
    <t>SUTTA-H-SEBASTIAN</t>
  </si>
  <si>
    <t>SALAZAR-CALLAIMARA--NAZARIO</t>
  </si>
  <si>
    <t>SUTTA-GUTIERREZ--ARCADIO</t>
  </si>
  <si>
    <t>C-C-ACCOPATA</t>
  </si>
  <si>
    <t>CO020089</t>
  </si>
  <si>
    <t>CHOQUEMAQUI-S-GERMAN-S-</t>
  </si>
  <si>
    <t>CARRETERA-COLCA-BAJO</t>
  </si>
  <si>
    <t>MOSO-CERAPIO</t>
  </si>
  <si>
    <t>CARRETERA---S-N</t>
  </si>
  <si>
    <t>SAYRE-A-DOMINGO</t>
  </si>
  <si>
    <t>URAN-CALLE-S-N</t>
  </si>
  <si>
    <t>CONDORI-CACERES--MIGUEL-ANGEL</t>
  </si>
  <si>
    <t>C-C-CALLACUNCA</t>
  </si>
  <si>
    <t>CO020092</t>
  </si>
  <si>
    <t>PUMA-D-FRANCISCO</t>
  </si>
  <si>
    <t>HUACCAYTAQUI---S-N</t>
  </si>
  <si>
    <t>CO020097</t>
  </si>
  <si>
    <t>SANTA-CRUZ-CHALLCO--FREDY-WILI</t>
  </si>
  <si>
    <t>CALLE-1RO-DE-MAYO-S-N</t>
  </si>
  <si>
    <t>CHALCO-S-TIMOTEO</t>
  </si>
  <si>
    <t>HUARAYPATA---S-N</t>
  </si>
  <si>
    <t>ZAPATA-YUPANQUI-RENE</t>
  </si>
  <si>
    <t>HUARAYPATA</t>
  </si>
  <si>
    <t>FLORES-LUCIANA</t>
  </si>
  <si>
    <t>CO020920</t>
  </si>
  <si>
    <t>CHURATA-CONDORI--SIXTO</t>
  </si>
  <si>
    <t>SECTOR-BANDA-OCCIDENTAL-S-N</t>
  </si>
  <si>
    <t>CO020100</t>
  </si>
  <si>
    <t>LIMA-V-LUCIO</t>
  </si>
  <si>
    <t>CHURA-P-SEGUNDO</t>
  </si>
  <si>
    <t>ROJAS-Y-MARIANO</t>
  </si>
  <si>
    <t>LEZAMA-VDA-DE-C-JUST</t>
  </si>
  <si>
    <t>CALLEJON---S-N</t>
  </si>
  <si>
    <t>EZENARRO-CRISOLOGA</t>
  </si>
  <si>
    <t>CUBA-L-IRMA</t>
  </si>
  <si>
    <t>AYMACHOQUE-Y-JOSE-L-</t>
  </si>
  <si>
    <t>CARRETERA-S-N-</t>
  </si>
  <si>
    <t>QUISPE-CH-MARTIN</t>
  </si>
  <si>
    <t>LLANCACURO-LEZAMA--BRAULIO</t>
  </si>
  <si>
    <t>COMUNIDAD-TTIO--S-N-</t>
  </si>
  <si>
    <t>CO021989</t>
  </si>
  <si>
    <t>HUITTOCCOLLO-SUCAPUCA--SIMEON</t>
  </si>
  <si>
    <t>COM--CALLATIAC</t>
  </si>
  <si>
    <t>CCOYORI-ZEA--APOLINAR</t>
  </si>
  <si>
    <t>QUISPE-TTITO--BASILIDES</t>
  </si>
  <si>
    <t>COM-CALLATIAC</t>
  </si>
  <si>
    <t>CO020378</t>
  </si>
  <si>
    <t>ZEA-CCOYORI--ROSA-BERTHA</t>
  </si>
  <si>
    <t>C-C-URINQOSQO--SECTOR--CENTRAL</t>
  </si>
  <si>
    <t>ZEA-HUAMAN--HIPOLITO</t>
  </si>
  <si>
    <t>C-C--URINCCOSCCO</t>
  </si>
  <si>
    <t>ZEA-YAURI--EDUARDA</t>
  </si>
  <si>
    <t>QUISPE-QUISPE--GUMERCINDO</t>
  </si>
  <si>
    <t>YAURI-MAMANI--NANCY</t>
  </si>
  <si>
    <t>CCOYORI-CHURATA--MARIA-ELENA</t>
  </si>
  <si>
    <t>LOAYZA-CCOYORI--DOMINGO</t>
  </si>
  <si>
    <t>ZEA-YAURI--VICTORIA</t>
  </si>
  <si>
    <t>LOAIZA-QUISPE--URBANO</t>
  </si>
  <si>
    <t>CCOYORI-ZEA--SANTIAGO-MARCOS</t>
  </si>
  <si>
    <t>CO020379</t>
  </si>
  <si>
    <t>CCACHA-TTITO--JULIAN</t>
  </si>
  <si>
    <t>SECTOR-CENTRAL-S-N-CALLATIAC</t>
  </si>
  <si>
    <t>CONDORI-TAYPE--NICANOR</t>
  </si>
  <si>
    <t>C-C-CALLATIAC-</t>
  </si>
  <si>
    <t>SALON-COMUNAL-CALLATIAC</t>
  </si>
  <si>
    <t>CALLATIAC</t>
  </si>
  <si>
    <t>TTITO-CURASI--AVELINO</t>
  </si>
  <si>
    <t>ROJAS-TTITO--VICTORIANO</t>
  </si>
  <si>
    <t>SAIRE-CCANAHUIRE--CESILIA</t>
  </si>
  <si>
    <t>COM-CALLATIAC-SECTOR-PUCACOCHA</t>
  </si>
  <si>
    <t>TTITO-SUCAPUCA--ZOILA</t>
  </si>
  <si>
    <t>C-C--CALLATIAC</t>
  </si>
  <si>
    <t>HUITTOCCOLLO-TTITO--LUCIO</t>
  </si>
  <si>
    <t>SECT--PUCACCOCHA--C-C-CALLATIA</t>
  </si>
  <si>
    <t>ROJO-TTITO--EUGENIO</t>
  </si>
  <si>
    <t>VARGAS-ASIN--ANGEL</t>
  </si>
  <si>
    <t>SAIRE-CURASI--GERMAN</t>
  </si>
  <si>
    <t>PUMA-CCACHA--GREGORIO</t>
  </si>
  <si>
    <t>CURASI-TTITO--RUPERTO</t>
  </si>
  <si>
    <t>MENDOZA-TTITO--HERMINIO</t>
  </si>
  <si>
    <t>TTITO-HUITTOCCOLLO--MARIA</t>
  </si>
  <si>
    <t>SECT--PUCACCOCHA-C-C-CALLATIAC</t>
  </si>
  <si>
    <t>FUENTES-CONDORI--NAZARIO</t>
  </si>
  <si>
    <t>CO020925</t>
  </si>
  <si>
    <t>CCACHA-CURASI--EUGENIA</t>
  </si>
  <si>
    <t>SECTOR-KUCHUYRUMI-S-N</t>
  </si>
  <si>
    <t>HUITTOCCOLLO-ROJO--ROSENDO</t>
  </si>
  <si>
    <t>COM-CALLATIYAC</t>
  </si>
  <si>
    <t>CO020098</t>
  </si>
  <si>
    <t>SANTA-CRUZ-AGUILAR--ROSAS</t>
  </si>
  <si>
    <t>AV--MIRAFLORES--C-P--PAMPAQQUE</t>
  </si>
  <si>
    <t>HUALLPA-S-CESAR</t>
  </si>
  <si>
    <t>PAMPA-KQUEHUAR-S-N-</t>
  </si>
  <si>
    <t>VIDAL-Q-JAVIER</t>
  </si>
  <si>
    <t>MARCOSA-SUNA-VDA--V-</t>
  </si>
  <si>
    <t>KQUEHUAR</t>
  </si>
  <si>
    <t>PFUNO-HUAMAN--ROSA-MARIELA</t>
  </si>
  <si>
    <t>COM-PAMPAQUEHUAR-S-N</t>
  </si>
  <si>
    <t>PFUNO-CH-NEMESIO</t>
  </si>
  <si>
    <t>TTITO-P-TOMAS</t>
  </si>
  <si>
    <t>RAMOS-CHOQUE--WILFREDO</t>
  </si>
  <si>
    <t>COM--PAMPAQUEHUAR-</t>
  </si>
  <si>
    <t>RAMOS-A--MAMERTO</t>
  </si>
  <si>
    <t>HUAMAN-V--VALENTIN</t>
  </si>
  <si>
    <t>PRINCIPAL-S-N-</t>
  </si>
  <si>
    <t>CONZA-F-FLORENCIO</t>
  </si>
  <si>
    <t>RAMOS-Q-ALBERTO</t>
  </si>
  <si>
    <t>PFUNO-H-MARTIN</t>
  </si>
  <si>
    <t>PFUNO-TT--PEDRO</t>
  </si>
  <si>
    <t>PAMPA-KQUEHUAR-S-N</t>
  </si>
  <si>
    <t>CHALLCO-DE-A-JOAQUINA</t>
  </si>
  <si>
    <t>PAMAPQQUEHUAR</t>
  </si>
  <si>
    <t>PFUNO-S--EUGENIO</t>
  </si>
  <si>
    <t>QUISPE-BACA--CRISPIN</t>
  </si>
  <si>
    <t>C--C--PAMPAQUEHUAR</t>
  </si>
  <si>
    <t>PFUNO-HUALLPA-GENARO</t>
  </si>
  <si>
    <t>CC-PMAPA-QUEHUAR-S-N</t>
  </si>
  <si>
    <t>TTITO-AGUILAR--MANUELA</t>
  </si>
  <si>
    <t>COM--PAMPAQUEHUAR</t>
  </si>
  <si>
    <t>TTITO-CHECA-FORTUNATO</t>
  </si>
  <si>
    <t>COMUNIDAD--PAMPAQUEHUAR</t>
  </si>
  <si>
    <t>AYALA-YMA--MARCELINO</t>
  </si>
  <si>
    <t>PAMPAQQUEHUAR-S-N</t>
  </si>
  <si>
    <t>URCOS</t>
  </si>
  <si>
    <t>CO021019</t>
  </si>
  <si>
    <t>QUISPE-HUITTOCCOLLO--JUANA</t>
  </si>
  <si>
    <t>SECTOR-SAN-JOSE-II</t>
  </si>
  <si>
    <t>SALON-COMUNAL-DE-QUEMPORAY</t>
  </si>
  <si>
    <t>C-C--QUEMPORAY</t>
  </si>
  <si>
    <t>SI050303</t>
  </si>
  <si>
    <t>CURASI-MAMANI--ASUNCION</t>
  </si>
  <si>
    <t>CO031739</t>
  </si>
  <si>
    <t>LLANTA-CCOYORY--MIGUEL</t>
  </si>
  <si>
    <t>C--C--QUENQOMAYO</t>
  </si>
  <si>
    <t>JANAMPA-ARMUTO--PORFIRIO</t>
  </si>
  <si>
    <t>CACERES-ARMUTO--NICOLAS-VICTOR</t>
  </si>
  <si>
    <t>HUILLCA-LLANTA--LUCIA</t>
  </si>
  <si>
    <t>CRUZ-HUAHUAMULLO--ANASTACIO</t>
  </si>
  <si>
    <t>JANAMPA-ARMUTO--ISABEL</t>
  </si>
  <si>
    <t>CO031738</t>
  </si>
  <si>
    <t>COMUNAL-CCHOCAYHUA--SALON</t>
  </si>
  <si>
    <t>C-C--CHOCCAYHUA</t>
  </si>
  <si>
    <t>TORRES-COLQUEHUANCA--BELTRAN</t>
  </si>
  <si>
    <t>JANAMPA-HUAMANI--FELIPE-SANTIA</t>
  </si>
  <si>
    <t>CHELQQUETUMA-CACERES--OCTAVIO</t>
  </si>
  <si>
    <t>TORRES-JALANOCA--BARTOLOME</t>
  </si>
  <si>
    <t>JANAMPA-TORRES--LEONARDO-FELIX</t>
  </si>
  <si>
    <t>TORRES-DE-JANAMPA--BENEDICTA</t>
  </si>
  <si>
    <t>CO031677</t>
  </si>
  <si>
    <t>CHAPI-HUILLCA--TORIBIA</t>
  </si>
  <si>
    <t>C-C--MACHACOYO-</t>
  </si>
  <si>
    <t>HUILLCA-MAMANI--JESUS-</t>
  </si>
  <si>
    <t>HUILLCA-HUILLCA--ADRIAN</t>
  </si>
  <si>
    <t>AYMA-CALLASI--ALBERTO</t>
  </si>
  <si>
    <t>VILCA-CALLASE--MARCELO</t>
  </si>
  <si>
    <t>HUILLCA-CALLASE--MARCOS</t>
  </si>
  <si>
    <t>HUILLCA-PUMA--MARIO</t>
  </si>
  <si>
    <t>CO031678</t>
  </si>
  <si>
    <t>TAPIA-VILCA--DONATO</t>
  </si>
  <si>
    <t>C--C--ROSASPATA-YANAHUARA</t>
  </si>
  <si>
    <t>HUILLCA-HUILLCA--HERMOGENES</t>
  </si>
  <si>
    <t>HUAYHUA-PUMA--BONIFACIO</t>
  </si>
  <si>
    <t>CHAPI-LLASCANOA--JULIO</t>
  </si>
  <si>
    <t>LLASCANOA-ARIZAPANA--VICENTINA</t>
  </si>
  <si>
    <t>CO031680</t>
  </si>
  <si>
    <t>DIAZ-MAMANI--AQUILINO</t>
  </si>
  <si>
    <t>C-C--CHITIPAMPA</t>
  </si>
  <si>
    <t>RUIZ-DE-DIAZ--VICENTINA</t>
  </si>
  <si>
    <t>AYMA-DIAZ--ORESTES</t>
  </si>
  <si>
    <t>CO031681</t>
  </si>
  <si>
    <t>DIAZ-MAMANI--FRANCISCA</t>
  </si>
  <si>
    <t>C-C--JACHAPUCRO</t>
  </si>
  <si>
    <t>MARCCUTA-DIAS--FERMIN</t>
  </si>
  <si>
    <t>CO031679</t>
  </si>
  <si>
    <t>OROCHE-DIAZ--CELSO</t>
  </si>
  <si>
    <t>C-C--HUASCAPAMPA--PUMACAYO-</t>
  </si>
  <si>
    <t>CO031731</t>
  </si>
  <si>
    <t>CCAHUAN-CASTRO--ANTONIO</t>
  </si>
  <si>
    <t>C-C--TRES-DE-MAYO</t>
  </si>
  <si>
    <t>QUISPE-VILCA--PEPE</t>
  </si>
  <si>
    <t>SUNI-SURI--MAURA-BENIGNA</t>
  </si>
  <si>
    <t>DIAZ-RUIZ--SAVINO</t>
  </si>
  <si>
    <t>AYMA-CHOQUENAIRA--GREGORIA</t>
  </si>
  <si>
    <t>PUMA-CCOYORI--CELSO</t>
  </si>
  <si>
    <t>CCALLO-MAMANI--MARIA-MAGDALENA</t>
  </si>
  <si>
    <t>JAVIER-FLOREZ--ANDRES</t>
  </si>
  <si>
    <t>CO031727</t>
  </si>
  <si>
    <t>MAMANI-PFUTURI--WALTER</t>
  </si>
  <si>
    <t>C-C--ISULLANI</t>
  </si>
  <si>
    <t>PUMA-SURCO--ABRAHAM-ERIBERTO</t>
  </si>
  <si>
    <t>MAMANI-RUIZ--ZENOVIO</t>
  </si>
  <si>
    <t>CO031728</t>
  </si>
  <si>
    <t>RUIS-MAMANI--ALBERTO</t>
  </si>
  <si>
    <t>C-C--PULPERA</t>
  </si>
  <si>
    <t>CO031729</t>
  </si>
  <si>
    <t>CCALLO-CAYLLAHUA--BENEDCITO</t>
  </si>
  <si>
    <t>C--C--CCOMAYO-ALTO</t>
  </si>
  <si>
    <t>QUISPE-CHULLO--ELEUTERIO</t>
  </si>
  <si>
    <t>CAYLLAHUA-QUISPE--SALVADOR</t>
  </si>
  <si>
    <t>RUIZ-AIMA--ASCENCION</t>
  </si>
  <si>
    <t>CO030488</t>
  </si>
  <si>
    <t>INSTITUCION-EDUCATIVA--N---561</t>
  </si>
  <si>
    <t>ANEXO-CCOMAYO---QUEHUE</t>
  </si>
  <si>
    <t>CO031732</t>
  </si>
  <si>
    <t>CRUZ-CHULLUNQUIA--ROBERTO</t>
  </si>
  <si>
    <t>C--C--HUALLATOCCO</t>
  </si>
  <si>
    <t>CCOYORE-RAMOS--EUSEBIO</t>
  </si>
  <si>
    <t>CO031733</t>
  </si>
  <si>
    <t>PUMA-AP-ZA--JUAN-DE-DIOS</t>
  </si>
  <si>
    <t>C-C--MANURA</t>
  </si>
  <si>
    <t>CHULLO-PUMA--ALEJANDRO</t>
  </si>
  <si>
    <t>PUMA-CHOQUE--JUDITH</t>
  </si>
  <si>
    <t>CCOYORI-CHULLO--GAVINO</t>
  </si>
  <si>
    <t>CO031737</t>
  </si>
  <si>
    <t>FLORES-QUISPE--VALENTINA</t>
  </si>
  <si>
    <t>C-C--CCOMAYO-HUAYCCO</t>
  </si>
  <si>
    <t xml:space="preserve"> CCARCCOBAMBA S/N</t>
  </si>
  <si>
    <t xml:space="preserve"> CALLE ATAHUALLPA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</si>
</sst>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zoomScalePageLayoutView="0" workbookViewId="0" topLeftCell="A679">
      <selection activeCell="G425" sqref="G425"/>
    </sheetView>
  </sheetViews>
  <sheetFormatPr defaultColWidth="11.421875" defaultRowHeight="15"/>
  <cols>
    <col min="8" max="8" width="27.7109375" style="0" customWidth="1"/>
    <col min="9" max="9" width="32.1406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41807</v>
      </c>
      <c r="C2" t="s">
        <v>18</v>
      </c>
      <c r="D2" t="str">
        <f>CONCATENATE("0130020614","")</f>
        <v>0130020614</v>
      </c>
      <c r="E2" t="str">
        <f>CONCATENATE("0020101000275       ","")</f>
        <v>0020101000275       </v>
      </c>
      <c r="F2" t="str">
        <f>CONCATENATE("1676339","")</f>
        <v>1676339</v>
      </c>
      <c r="G2" s="2" t="s">
        <v>24</v>
      </c>
      <c r="H2" t="s">
        <v>19</v>
      </c>
      <c r="I2" t="s">
        <v>20</v>
      </c>
      <c r="J2" t="str">
        <f aca="true" t="shared" si="0" ref="J2:J7">CONCATENATE("080201","")</f>
        <v>080201</v>
      </c>
      <c r="K2" t="s">
        <v>21</v>
      </c>
      <c r="L2" t="s">
        <v>22</v>
      </c>
      <c r="M2" t="str">
        <f aca="true" t="shared" si="1" ref="M2:M21">CONCATENATE("1","")</f>
        <v>1</v>
      </c>
      <c r="O2" t="str">
        <f aca="true" t="shared" si="2" ref="O2:O18">CONCATENATE("1 ","")</f>
        <v>1 </v>
      </c>
      <c r="P2">
        <v>199.05</v>
      </c>
      <c r="Q2" t="s">
        <v>23</v>
      </c>
    </row>
    <row r="3" spans="1:17" ht="15">
      <c r="A3" t="s">
        <v>17</v>
      </c>
      <c r="B3" s="1">
        <v>41807</v>
      </c>
      <c r="C3" t="s">
        <v>18</v>
      </c>
      <c r="D3" t="str">
        <f>CONCATENATE("0130008842","")</f>
        <v>0130008842</v>
      </c>
      <c r="E3" t="str">
        <f>CONCATENATE("0020101000485       ","")</f>
        <v>0020101000485       </v>
      </c>
      <c r="F3" t="str">
        <f>CONCATENATE("606664541","")</f>
        <v>606664541</v>
      </c>
      <c r="G3" t="s">
        <v>24</v>
      </c>
      <c r="H3" t="s">
        <v>25</v>
      </c>
      <c r="I3" t="s">
        <v>26</v>
      </c>
      <c r="J3" t="str">
        <f t="shared" si="0"/>
        <v>080201</v>
      </c>
      <c r="K3" t="s">
        <v>21</v>
      </c>
      <c r="L3" t="s">
        <v>22</v>
      </c>
      <c r="M3" t="str">
        <f t="shared" si="1"/>
        <v>1</v>
      </c>
      <c r="O3" t="str">
        <f t="shared" si="2"/>
        <v>1 </v>
      </c>
      <c r="P3">
        <v>85.55</v>
      </c>
      <c r="Q3" t="s">
        <v>23</v>
      </c>
    </row>
    <row r="4" spans="1:17" ht="15">
      <c r="A4" t="s">
        <v>17</v>
      </c>
      <c r="B4" s="1">
        <v>41807</v>
      </c>
      <c r="C4" t="s">
        <v>18</v>
      </c>
      <c r="D4" t="str">
        <f>CONCATENATE("0130020752","")</f>
        <v>0130020752</v>
      </c>
      <c r="E4" t="str">
        <f>CONCATENATE("0020101000683       ","")</f>
        <v>0020101000683       </v>
      </c>
      <c r="F4" t="str">
        <f>CONCATENATE("1675018","")</f>
        <v>1675018</v>
      </c>
      <c r="G4" t="s">
        <v>24</v>
      </c>
      <c r="H4" t="s">
        <v>27</v>
      </c>
      <c r="I4" t="s">
        <v>28</v>
      </c>
      <c r="J4" t="str">
        <f t="shared" si="0"/>
        <v>080201</v>
      </c>
      <c r="K4" t="s">
        <v>21</v>
      </c>
      <c r="L4" t="s">
        <v>22</v>
      </c>
      <c r="M4" t="str">
        <f t="shared" si="1"/>
        <v>1</v>
      </c>
      <c r="O4" t="str">
        <f t="shared" si="2"/>
        <v>1 </v>
      </c>
      <c r="P4">
        <v>31.6</v>
      </c>
      <c r="Q4" t="s">
        <v>23</v>
      </c>
    </row>
    <row r="5" spans="1:17" ht="15">
      <c r="A5" t="s">
        <v>17</v>
      </c>
      <c r="B5" s="1">
        <v>41807</v>
      </c>
      <c r="C5" t="s">
        <v>18</v>
      </c>
      <c r="D5" t="str">
        <f>CONCATENATE("0130000071","")</f>
        <v>0130000071</v>
      </c>
      <c r="E5" t="str">
        <f>CONCATENATE("0020101001350       ","")</f>
        <v>0020101001350       </v>
      </c>
      <c r="F5" t="str">
        <f>CONCATENATE("605083937","")</f>
        <v>605083937</v>
      </c>
      <c r="G5" t="s">
        <v>24</v>
      </c>
      <c r="H5" t="s">
        <v>29</v>
      </c>
      <c r="I5" t="s">
        <v>30</v>
      </c>
      <c r="J5" t="str">
        <f t="shared" si="0"/>
        <v>080201</v>
      </c>
      <c r="K5" t="s">
        <v>21</v>
      </c>
      <c r="L5" t="s">
        <v>22</v>
      </c>
      <c r="M5" t="str">
        <f t="shared" si="1"/>
        <v>1</v>
      </c>
      <c r="O5" t="str">
        <f t="shared" si="2"/>
        <v>1 </v>
      </c>
      <c r="P5">
        <v>33</v>
      </c>
      <c r="Q5" t="s">
        <v>23</v>
      </c>
    </row>
    <row r="6" spans="1:17" ht="15">
      <c r="A6" t="s">
        <v>17</v>
      </c>
      <c r="B6" s="1">
        <v>41807</v>
      </c>
      <c r="C6" t="s">
        <v>18</v>
      </c>
      <c r="D6" t="str">
        <f>CONCATENATE("0130000078","")</f>
        <v>0130000078</v>
      </c>
      <c r="E6" t="str">
        <f>CONCATENATE("0020101001430       ","")</f>
        <v>0020101001430       </v>
      </c>
      <c r="F6" t="str">
        <f>CONCATENATE("605349702","")</f>
        <v>605349702</v>
      </c>
      <c r="G6" t="s">
        <v>24</v>
      </c>
      <c r="H6" t="s">
        <v>31</v>
      </c>
      <c r="I6" t="s">
        <v>32</v>
      </c>
      <c r="J6" t="str">
        <f t="shared" si="0"/>
        <v>080201</v>
      </c>
      <c r="K6" t="s">
        <v>21</v>
      </c>
      <c r="L6" t="s">
        <v>22</v>
      </c>
      <c r="M6" t="str">
        <f t="shared" si="1"/>
        <v>1</v>
      </c>
      <c r="O6" t="str">
        <f t="shared" si="2"/>
        <v>1 </v>
      </c>
      <c r="P6">
        <v>100.85</v>
      </c>
      <c r="Q6" t="s">
        <v>23</v>
      </c>
    </row>
    <row r="7" spans="1:17" ht="15">
      <c r="A7" t="s">
        <v>17</v>
      </c>
      <c r="B7" s="1">
        <v>41807</v>
      </c>
      <c r="C7" t="s">
        <v>18</v>
      </c>
      <c r="D7" t="str">
        <f>CONCATENATE("0130000082","")</f>
        <v>0130000082</v>
      </c>
      <c r="E7" t="str">
        <f>CONCATENATE("0020101001470       ","")</f>
        <v>0020101001470       </v>
      </c>
      <c r="F7" t="str">
        <f>CONCATENATE("605118915","")</f>
        <v>605118915</v>
      </c>
      <c r="G7" t="s">
        <v>24</v>
      </c>
      <c r="H7" t="s">
        <v>33</v>
      </c>
      <c r="I7" t="s">
        <v>34</v>
      </c>
      <c r="J7" t="str">
        <f t="shared" si="0"/>
        <v>080201</v>
      </c>
      <c r="K7" t="s">
        <v>21</v>
      </c>
      <c r="L7" t="s">
        <v>22</v>
      </c>
      <c r="M7" t="str">
        <f t="shared" si="1"/>
        <v>1</v>
      </c>
      <c r="O7" t="str">
        <f t="shared" si="2"/>
        <v>1 </v>
      </c>
      <c r="P7">
        <v>44.2</v>
      </c>
      <c r="Q7" t="s">
        <v>23</v>
      </c>
    </row>
    <row r="8" spans="1:17" ht="15">
      <c r="A8" t="s">
        <v>17</v>
      </c>
      <c r="B8" s="1">
        <v>41807</v>
      </c>
      <c r="C8" t="s">
        <v>35</v>
      </c>
      <c r="D8" t="str">
        <f>CONCATENATE("0040035499","")</f>
        <v>0040035499</v>
      </c>
      <c r="E8" t="str">
        <f>CONCATENATE("0020101001888       ","")</f>
        <v>0020101001888       </v>
      </c>
      <c r="F8" t="str">
        <f>CONCATENATE("606674356","")</f>
        <v>606674356</v>
      </c>
      <c r="G8" t="s">
        <v>36</v>
      </c>
      <c r="H8" t="s">
        <v>37</v>
      </c>
      <c r="I8" t="s">
        <v>38</v>
      </c>
      <c r="J8" t="str">
        <f>CONCATENATE("080203","")</f>
        <v>080203</v>
      </c>
      <c r="K8" t="s">
        <v>21</v>
      </c>
      <c r="L8" t="s">
        <v>22</v>
      </c>
      <c r="M8" t="str">
        <f t="shared" si="1"/>
        <v>1</v>
      </c>
      <c r="O8" t="str">
        <f t="shared" si="2"/>
        <v>1 </v>
      </c>
      <c r="P8">
        <v>11.75</v>
      </c>
      <c r="Q8" t="s">
        <v>23</v>
      </c>
    </row>
    <row r="9" spans="1:17" ht="15">
      <c r="A9" t="s">
        <v>17</v>
      </c>
      <c r="B9" s="1">
        <v>41807</v>
      </c>
      <c r="C9" t="s">
        <v>18</v>
      </c>
      <c r="D9" t="str">
        <f>CONCATENATE("0130000114","")</f>
        <v>0130000114</v>
      </c>
      <c r="E9" t="str">
        <f>CONCATENATE("0020101002240       ","")</f>
        <v>0020101002240       </v>
      </c>
      <c r="F9" t="str">
        <f>CONCATENATE("605394485","")</f>
        <v>605394485</v>
      </c>
      <c r="G9" t="s">
        <v>24</v>
      </c>
      <c r="H9" t="s">
        <v>39</v>
      </c>
      <c r="I9" t="s">
        <v>40</v>
      </c>
      <c r="J9" t="str">
        <f aca="true" t="shared" si="3" ref="J9:J25">CONCATENATE("080201","")</f>
        <v>080201</v>
      </c>
      <c r="K9" t="s">
        <v>21</v>
      </c>
      <c r="L9" t="s">
        <v>22</v>
      </c>
      <c r="M9" t="str">
        <f t="shared" si="1"/>
        <v>1</v>
      </c>
      <c r="O9" t="str">
        <f t="shared" si="2"/>
        <v>1 </v>
      </c>
      <c r="P9">
        <v>19.35</v>
      </c>
      <c r="Q9" t="s">
        <v>23</v>
      </c>
    </row>
    <row r="10" spans="1:17" ht="15">
      <c r="A10" t="s">
        <v>17</v>
      </c>
      <c r="B10" s="1">
        <v>41807</v>
      </c>
      <c r="C10" t="s">
        <v>18</v>
      </c>
      <c r="D10" t="str">
        <f>CONCATENATE("0130007502","")</f>
        <v>0130007502</v>
      </c>
      <c r="E10" t="str">
        <f>CONCATENATE("0020102000160       ","")</f>
        <v>0020102000160       </v>
      </c>
      <c r="F10" t="str">
        <f>CONCATENATE("605566568","")</f>
        <v>605566568</v>
      </c>
      <c r="G10" t="s">
        <v>36</v>
      </c>
      <c r="H10" t="s">
        <v>41</v>
      </c>
      <c r="I10" t="s">
        <v>42</v>
      </c>
      <c r="J10" t="str">
        <f t="shared" si="3"/>
        <v>080201</v>
      </c>
      <c r="K10" t="s">
        <v>21</v>
      </c>
      <c r="L10" t="s">
        <v>22</v>
      </c>
      <c r="M10" t="str">
        <f t="shared" si="1"/>
        <v>1</v>
      </c>
      <c r="O10" t="str">
        <f t="shared" si="2"/>
        <v>1 </v>
      </c>
      <c r="P10">
        <v>37.9</v>
      </c>
      <c r="Q10" t="s">
        <v>23</v>
      </c>
    </row>
    <row r="11" spans="1:17" ht="15">
      <c r="A11" t="s">
        <v>17</v>
      </c>
      <c r="B11" s="1">
        <v>41807</v>
      </c>
      <c r="C11" t="s">
        <v>18</v>
      </c>
      <c r="D11" t="str">
        <f>CONCATENATE("0130015641","")</f>
        <v>0130015641</v>
      </c>
      <c r="E11" t="str">
        <f>CONCATENATE("0020102000485       ","")</f>
        <v>0020102000485       </v>
      </c>
      <c r="F11" t="str">
        <f>CONCATENATE("605288857","")</f>
        <v>605288857</v>
      </c>
      <c r="G11" t="s">
        <v>36</v>
      </c>
      <c r="H11" t="s">
        <v>43</v>
      </c>
      <c r="I11" t="s">
        <v>44</v>
      </c>
      <c r="J11" t="str">
        <f t="shared" si="3"/>
        <v>080201</v>
      </c>
      <c r="K11" t="s">
        <v>21</v>
      </c>
      <c r="L11" t="s">
        <v>22</v>
      </c>
      <c r="M11" t="str">
        <f t="shared" si="1"/>
        <v>1</v>
      </c>
      <c r="O11" t="str">
        <f t="shared" si="2"/>
        <v>1 </v>
      </c>
      <c r="P11">
        <v>119.65</v>
      </c>
      <c r="Q11" t="s">
        <v>23</v>
      </c>
    </row>
    <row r="12" spans="1:17" ht="15">
      <c r="A12" t="s">
        <v>17</v>
      </c>
      <c r="B12" s="1">
        <v>41807</v>
      </c>
      <c r="C12" t="s">
        <v>18</v>
      </c>
      <c r="D12" t="str">
        <f>CONCATENATE("0130000186","")</f>
        <v>0130000186</v>
      </c>
      <c r="E12" t="str">
        <f>CONCATENATE("0020102000682       ","")</f>
        <v>0020102000682       </v>
      </c>
      <c r="F12" t="str">
        <f>CONCATENATE("605352125","")</f>
        <v>605352125</v>
      </c>
      <c r="G12" t="s">
        <v>36</v>
      </c>
      <c r="H12" t="s">
        <v>45</v>
      </c>
      <c r="I12" t="s">
        <v>46</v>
      </c>
      <c r="J12" t="str">
        <f t="shared" si="3"/>
        <v>080201</v>
      </c>
      <c r="K12" t="s">
        <v>21</v>
      </c>
      <c r="L12" t="s">
        <v>22</v>
      </c>
      <c r="M12" t="str">
        <f t="shared" si="1"/>
        <v>1</v>
      </c>
      <c r="O12" t="str">
        <f t="shared" si="2"/>
        <v>1 </v>
      </c>
      <c r="P12">
        <v>86.15</v>
      </c>
      <c r="Q12" t="s">
        <v>23</v>
      </c>
    </row>
    <row r="13" spans="1:17" ht="15">
      <c r="A13" t="s">
        <v>17</v>
      </c>
      <c r="B13" s="1">
        <v>41807</v>
      </c>
      <c r="C13" t="s">
        <v>18</v>
      </c>
      <c r="D13" t="str">
        <f>CONCATENATE("0130013409","")</f>
        <v>0130013409</v>
      </c>
      <c r="E13" t="str">
        <f>CONCATENATE("0020102000743       ","")</f>
        <v>0020102000743       </v>
      </c>
      <c r="F13" t="str">
        <f>CONCATENATE("606589862","")</f>
        <v>606589862</v>
      </c>
      <c r="G13" t="s">
        <v>36</v>
      </c>
      <c r="H13" t="s">
        <v>47</v>
      </c>
      <c r="I13" t="s">
        <v>48</v>
      </c>
      <c r="J13" t="str">
        <f t="shared" si="3"/>
        <v>080201</v>
      </c>
      <c r="K13" t="s">
        <v>21</v>
      </c>
      <c r="L13" t="s">
        <v>22</v>
      </c>
      <c r="M13" t="str">
        <f t="shared" si="1"/>
        <v>1</v>
      </c>
      <c r="O13" t="str">
        <f t="shared" si="2"/>
        <v>1 </v>
      </c>
      <c r="P13">
        <v>52.8</v>
      </c>
      <c r="Q13" t="s">
        <v>23</v>
      </c>
    </row>
    <row r="14" spans="1:17" ht="15">
      <c r="A14" t="s">
        <v>17</v>
      </c>
      <c r="B14" s="1">
        <v>41807</v>
      </c>
      <c r="C14" t="s">
        <v>18</v>
      </c>
      <c r="D14" t="str">
        <f>CONCATENATE("0130000195","")</f>
        <v>0130000195</v>
      </c>
      <c r="E14" t="str">
        <f>CONCATENATE("0020102000780       ","")</f>
        <v>0020102000780       </v>
      </c>
      <c r="F14" t="str">
        <f>CONCATENATE("605392091","")</f>
        <v>605392091</v>
      </c>
      <c r="G14" t="s">
        <v>36</v>
      </c>
      <c r="H14" t="s">
        <v>49</v>
      </c>
      <c r="I14" t="s">
        <v>50</v>
      </c>
      <c r="J14" t="str">
        <f t="shared" si="3"/>
        <v>080201</v>
      </c>
      <c r="K14" t="s">
        <v>21</v>
      </c>
      <c r="L14" t="s">
        <v>22</v>
      </c>
      <c r="M14" t="str">
        <f t="shared" si="1"/>
        <v>1</v>
      </c>
      <c r="O14" t="str">
        <f t="shared" si="2"/>
        <v>1 </v>
      </c>
      <c r="P14">
        <v>14.1</v>
      </c>
      <c r="Q14" t="s">
        <v>23</v>
      </c>
    </row>
    <row r="15" spans="1:17" ht="15">
      <c r="A15" t="s">
        <v>17</v>
      </c>
      <c r="B15" s="1">
        <v>41807</v>
      </c>
      <c r="C15" t="s">
        <v>18</v>
      </c>
      <c r="D15" t="str">
        <f>CONCATENATE("0040030801","")</f>
        <v>0040030801</v>
      </c>
      <c r="E15" t="str">
        <f>CONCATENATE("0020102000901       ","")</f>
        <v>0020102000901       </v>
      </c>
      <c r="F15" t="str">
        <f>CONCATENATE("605621818","")</f>
        <v>605621818</v>
      </c>
      <c r="G15" t="s">
        <v>36</v>
      </c>
      <c r="H15" t="s">
        <v>51</v>
      </c>
      <c r="I15" t="s">
        <v>52</v>
      </c>
      <c r="J15" t="str">
        <f t="shared" si="3"/>
        <v>080201</v>
      </c>
      <c r="K15" t="s">
        <v>21</v>
      </c>
      <c r="L15" t="s">
        <v>22</v>
      </c>
      <c r="M15" t="str">
        <f t="shared" si="1"/>
        <v>1</v>
      </c>
      <c r="O15" t="str">
        <f t="shared" si="2"/>
        <v>1 </v>
      </c>
      <c r="P15">
        <v>23.95</v>
      </c>
      <c r="Q15" t="s">
        <v>23</v>
      </c>
    </row>
    <row r="16" spans="1:17" ht="15">
      <c r="A16" t="s">
        <v>17</v>
      </c>
      <c r="B16" s="1">
        <v>41807</v>
      </c>
      <c r="C16" t="s">
        <v>18</v>
      </c>
      <c r="D16" t="str">
        <f>CONCATENATE("0130000210","")</f>
        <v>0130000210</v>
      </c>
      <c r="E16" t="str">
        <f>CONCATENATE("0020102000910       ","")</f>
        <v>0020102000910       </v>
      </c>
      <c r="F16" t="str">
        <f>CONCATENATE("605392076","")</f>
        <v>605392076</v>
      </c>
      <c r="G16" t="s">
        <v>36</v>
      </c>
      <c r="H16" t="s">
        <v>53</v>
      </c>
      <c r="I16" t="s">
        <v>54</v>
      </c>
      <c r="J16" t="str">
        <f t="shared" si="3"/>
        <v>080201</v>
      </c>
      <c r="K16" t="s">
        <v>21</v>
      </c>
      <c r="L16" t="s">
        <v>22</v>
      </c>
      <c r="M16" t="str">
        <f t="shared" si="1"/>
        <v>1</v>
      </c>
      <c r="O16" t="str">
        <f t="shared" si="2"/>
        <v>1 </v>
      </c>
      <c r="P16">
        <v>16.45</v>
      </c>
      <c r="Q16" t="s">
        <v>23</v>
      </c>
    </row>
    <row r="17" spans="1:17" ht="15">
      <c r="A17" t="s">
        <v>17</v>
      </c>
      <c r="B17" s="1">
        <v>41807</v>
      </c>
      <c r="C17" t="s">
        <v>18</v>
      </c>
      <c r="D17" t="str">
        <f>CONCATENATE("0130000213","")</f>
        <v>0130000213</v>
      </c>
      <c r="E17" t="str">
        <f>CONCATENATE("0020102000980       ","")</f>
        <v>0020102000980       </v>
      </c>
      <c r="F17" t="str">
        <f>CONCATENATE("605566561","")</f>
        <v>605566561</v>
      </c>
      <c r="G17" t="s">
        <v>36</v>
      </c>
      <c r="H17" t="s">
        <v>55</v>
      </c>
      <c r="I17" t="s">
        <v>56</v>
      </c>
      <c r="J17" t="str">
        <f t="shared" si="3"/>
        <v>080201</v>
      </c>
      <c r="K17" t="s">
        <v>21</v>
      </c>
      <c r="L17" t="s">
        <v>22</v>
      </c>
      <c r="M17" t="str">
        <f t="shared" si="1"/>
        <v>1</v>
      </c>
      <c r="O17" t="str">
        <f t="shared" si="2"/>
        <v>1 </v>
      </c>
      <c r="P17">
        <v>21.3</v>
      </c>
      <c r="Q17" t="s">
        <v>23</v>
      </c>
    </row>
    <row r="18" spans="1:17" ht="15">
      <c r="A18" t="s">
        <v>17</v>
      </c>
      <c r="B18" s="1">
        <v>41807</v>
      </c>
      <c r="C18" t="s">
        <v>18</v>
      </c>
      <c r="D18" t="str">
        <f>CONCATENATE("0130000246","")</f>
        <v>0130000246</v>
      </c>
      <c r="E18" t="str">
        <f>CONCATENATE("0020102001530       ","")</f>
        <v>0020102001530       </v>
      </c>
      <c r="F18" t="str">
        <f>CONCATENATE("605566558","")</f>
        <v>605566558</v>
      </c>
      <c r="G18" t="s">
        <v>36</v>
      </c>
      <c r="H18" t="s">
        <v>57</v>
      </c>
      <c r="I18" t="s">
        <v>58</v>
      </c>
      <c r="J18" t="str">
        <f t="shared" si="3"/>
        <v>080201</v>
      </c>
      <c r="K18" t="s">
        <v>21</v>
      </c>
      <c r="L18" t="s">
        <v>22</v>
      </c>
      <c r="M18" t="str">
        <f t="shared" si="1"/>
        <v>1</v>
      </c>
      <c r="O18" t="str">
        <f t="shared" si="2"/>
        <v>1 </v>
      </c>
      <c r="P18">
        <v>102.8</v>
      </c>
      <c r="Q18" t="s">
        <v>23</v>
      </c>
    </row>
    <row r="19" spans="1:17" ht="15">
      <c r="A19" t="s">
        <v>17</v>
      </c>
      <c r="B19" s="1">
        <v>41807</v>
      </c>
      <c r="C19" t="s">
        <v>18</v>
      </c>
      <c r="D19" t="str">
        <f>CONCATENATE("0130000259","")</f>
        <v>0130000259</v>
      </c>
      <c r="E19" t="str">
        <f>CONCATENATE("0020102002040       ","")</f>
        <v>0020102002040       </v>
      </c>
      <c r="F19" t="str">
        <f>CONCATENATE("606603531","")</f>
        <v>606603531</v>
      </c>
      <c r="G19" t="s">
        <v>36</v>
      </c>
      <c r="H19" t="s">
        <v>59</v>
      </c>
      <c r="I19" t="s">
        <v>60</v>
      </c>
      <c r="J19" t="str">
        <f t="shared" si="3"/>
        <v>080201</v>
      </c>
      <c r="K19" t="s">
        <v>21</v>
      </c>
      <c r="L19" t="s">
        <v>22</v>
      </c>
      <c r="M19" t="str">
        <f t="shared" si="1"/>
        <v>1</v>
      </c>
      <c r="O19" t="str">
        <f>CONCATENATE("2 ","")</f>
        <v>2 </v>
      </c>
      <c r="P19">
        <v>68.75</v>
      </c>
      <c r="Q19" t="s">
        <v>23</v>
      </c>
    </row>
    <row r="20" spans="1:17" ht="15">
      <c r="A20" t="s">
        <v>17</v>
      </c>
      <c r="B20" s="1">
        <v>41807</v>
      </c>
      <c r="C20" t="s">
        <v>18</v>
      </c>
      <c r="D20" t="str">
        <f>CONCATENATE("0130009842","")</f>
        <v>0130009842</v>
      </c>
      <c r="E20" t="str">
        <f>CONCATENATE("0020102002123       ","")</f>
        <v>0020102002123       </v>
      </c>
      <c r="F20" t="str">
        <f>CONCATENATE("605565470","")</f>
        <v>605565470</v>
      </c>
      <c r="G20" t="s">
        <v>36</v>
      </c>
      <c r="H20" t="s">
        <v>61</v>
      </c>
      <c r="I20" t="s">
        <v>62</v>
      </c>
      <c r="J20" t="str">
        <f t="shared" si="3"/>
        <v>080201</v>
      </c>
      <c r="K20" t="s">
        <v>21</v>
      </c>
      <c r="L20" t="s">
        <v>22</v>
      </c>
      <c r="M20" t="str">
        <f t="shared" si="1"/>
        <v>1</v>
      </c>
      <c r="O20" t="str">
        <f aca="true" t="shared" si="4" ref="O20:O26">CONCATENATE("1 ","")</f>
        <v>1 </v>
      </c>
      <c r="P20">
        <v>21.15</v>
      </c>
      <c r="Q20" t="s">
        <v>23</v>
      </c>
    </row>
    <row r="21" spans="1:17" ht="15">
      <c r="A21" t="s">
        <v>17</v>
      </c>
      <c r="B21" s="1">
        <v>41807</v>
      </c>
      <c r="C21" t="s">
        <v>18</v>
      </c>
      <c r="D21" t="str">
        <f>CONCATENATE("0130015437","")</f>
        <v>0130015437</v>
      </c>
      <c r="E21" t="str">
        <f>CONCATENATE("0020102002166       ","")</f>
        <v>0020102002166       </v>
      </c>
      <c r="F21" t="str">
        <f>CONCATENATE("605289028","")</f>
        <v>605289028</v>
      </c>
      <c r="G21" t="s">
        <v>36</v>
      </c>
      <c r="H21" t="s">
        <v>63</v>
      </c>
      <c r="I21" t="s">
        <v>64</v>
      </c>
      <c r="J21" t="str">
        <f t="shared" si="3"/>
        <v>080201</v>
      </c>
      <c r="K21" t="s">
        <v>21</v>
      </c>
      <c r="L21" t="s">
        <v>22</v>
      </c>
      <c r="M21" t="str">
        <f t="shared" si="1"/>
        <v>1</v>
      </c>
      <c r="O21" t="str">
        <f t="shared" si="4"/>
        <v>1 </v>
      </c>
      <c r="P21">
        <v>71.5</v>
      </c>
      <c r="Q21" t="s">
        <v>23</v>
      </c>
    </row>
    <row r="22" spans="1:17" ht="15">
      <c r="A22" t="s">
        <v>17</v>
      </c>
      <c r="B22" s="1">
        <v>41807</v>
      </c>
      <c r="C22" t="s">
        <v>18</v>
      </c>
      <c r="D22" t="str">
        <f>CONCATENATE("0130010517","")</f>
        <v>0130010517</v>
      </c>
      <c r="E22" t="str">
        <f>CONCATENATE("0020102003042       ","")</f>
        <v>0020102003042       </v>
      </c>
      <c r="F22" t="str">
        <f>CONCATENATE("0507028671","")</f>
        <v>0507028671</v>
      </c>
      <c r="G22" t="s">
        <v>65</v>
      </c>
      <c r="H22" t="s">
        <v>66</v>
      </c>
      <c r="I22" t="s">
        <v>67</v>
      </c>
      <c r="J22" t="str">
        <f t="shared" si="3"/>
        <v>080201</v>
      </c>
      <c r="K22" t="s">
        <v>21</v>
      </c>
      <c r="L22" t="s">
        <v>22</v>
      </c>
      <c r="M22" t="str">
        <f>CONCATENATE("3","")</f>
        <v>3</v>
      </c>
      <c r="O22" t="str">
        <f t="shared" si="4"/>
        <v>1 </v>
      </c>
      <c r="P22">
        <v>46.7</v>
      </c>
      <c r="Q22" t="s">
        <v>68</v>
      </c>
    </row>
    <row r="23" spans="1:17" ht="15">
      <c r="A23" t="s">
        <v>17</v>
      </c>
      <c r="B23" s="1">
        <v>41807</v>
      </c>
      <c r="C23" t="s">
        <v>18</v>
      </c>
      <c r="D23" t="str">
        <f>CONCATENATE("0130020926","")</f>
        <v>0130020926</v>
      </c>
      <c r="E23" t="str">
        <f>CONCATENATE("0020102005382       ","")</f>
        <v>0020102005382       </v>
      </c>
      <c r="F23" t="str">
        <f>CONCATENATE("1762779","")</f>
        <v>1762779</v>
      </c>
      <c r="G23" t="s">
        <v>65</v>
      </c>
      <c r="H23" t="s">
        <v>69</v>
      </c>
      <c r="I23" t="s">
        <v>70</v>
      </c>
      <c r="J23" t="str">
        <f t="shared" si="3"/>
        <v>080201</v>
      </c>
      <c r="K23" t="s">
        <v>21</v>
      </c>
      <c r="L23" t="s">
        <v>22</v>
      </c>
      <c r="M23" t="str">
        <f aca="true" t="shared" si="5" ref="M23:M56">CONCATENATE("1","")</f>
        <v>1</v>
      </c>
      <c r="O23" t="str">
        <f t="shared" si="4"/>
        <v>1 </v>
      </c>
      <c r="P23">
        <v>30.55</v>
      </c>
      <c r="Q23" t="s">
        <v>23</v>
      </c>
    </row>
    <row r="24" spans="1:17" ht="15">
      <c r="A24" t="s">
        <v>17</v>
      </c>
      <c r="B24" s="1">
        <v>41807</v>
      </c>
      <c r="C24" t="s">
        <v>18</v>
      </c>
      <c r="D24" t="str">
        <f>CONCATENATE("0130010295","")</f>
        <v>0130010295</v>
      </c>
      <c r="E24" t="str">
        <f>CONCATENATE("0020102005650       ","")</f>
        <v>0020102005650       </v>
      </c>
      <c r="F24" t="str">
        <f>CONCATENATE("605740626","")</f>
        <v>605740626</v>
      </c>
      <c r="G24" t="s">
        <v>65</v>
      </c>
      <c r="H24" t="s">
        <v>71</v>
      </c>
      <c r="I24" t="s">
        <v>72</v>
      </c>
      <c r="J24" t="str">
        <f t="shared" si="3"/>
        <v>080201</v>
      </c>
      <c r="K24" t="s">
        <v>21</v>
      </c>
      <c r="L24" t="s">
        <v>22</v>
      </c>
      <c r="M24" t="str">
        <f t="shared" si="5"/>
        <v>1</v>
      </c>
      <c r="O24" t="str">
        <f t="shared" si="4"/>
        <v>1 </v>
      </c>
      <c r="P24">
        <v>120.55</v>
      </c>
      <c r="Q24" t="s">
        <v>23</v>
      </c>
    </row>
    <row r="25" spans="1:17" ht="15">
      <c r="A25" t="s">
        <v>17</v>
      </c>
      <c r="B25" s="1">
        <v>41807</v>
      </c>
      <c r="C25" t="s">
        <v>18</v>
      </c>
      <c r="D25" t="str">
        <f>CONCATENATE("0130013310","")</f>
        <v>0130013310</v>
      </c>
      <c r="E25" t="str">
        <f>CONCATENATE("0020102005690       ","")</f>
        <v>0020102005690       </v>
      </c>
      <c r="F25" t="str">
        <f>CONCATENATE("606603522","")</f>
        <v>606603522</v>
      </c>
      <c r="G25" t="s">
        <v>65</v>
      </c>
      <c r="H25" t="s">
        <v>73</v>
      </c>
      <c r="I25" t="s">
        <v>74</v>
      </c>
      <c r="J25" t="str">
        <f t="shared" si="3"/>
        <v>080201</v>
      </c>
      <c r="K25" t="s">
        <v>21</v>
      </c>
      <c r="L25" t="s">
        <v>22</v>
      </c>
      <c r="M25" t="str">
        <f t="shared" si="5"/>
        <v>1</v>
      </c>
      <c r="O25" t="str">
        <f t="shared" si="4"/>
        <v>1 </v>
      </c>
      <c r="P25">
        <v>232.45</v>
      </c>
      <c r="Q25" t="s">
        <v>23</v>
      </c>
    </row>
    <row r="26" spans="1:17" ht="15">
      <c r="A26" t="s">
        <v>17</v>
      </c>
      <c r="B26" s="1">
        <v>41807</v>
      </c>
      <c r="C26" t="s">
        <v>35</v>
      </c>
      <c r="D26" t="str">
        <f>CONCATENATE("0130009274","")</f>
        <v>0130009274</v>
      </c>
      <c r="E26" t="str">
        <f>CONCATENATE("0020103000020       ","")</f>
        <v>0020103000020       </v>
      </c>
      <c r="F26" t="str">
        <f>CONCATENATE("605393742","")</f>
        <v>605393742</v>
      </c>
      <c r="G26" t="s">
        <v>75</v>
      </c>
      <c r="H26" t="s">
        <v>76</v>
      </c>
      <c r="I26" t="s">
        <v>77</v>
      </c>
      <c r="J26" t="str">
        <f>CONCATENATE("080203","")</f>
        <v>080203</v>
      </c>
      <c r="K26" t="s">
        <v>21</v>
      </c>
      <c r="L26" t="s">
        <v>22</v>
      </c>
      <c r="M26" t="str">
        <f t="shared" si="5"/>
        <v>1</v>
      </c>
      <c r="O26" t="str">
        <f t="shared" si="4"/>
        <v>1 </v>
      </c>
      <c r="P26">
        <v>41.55</v>
      </c>
      <c r="Q26" t="s">
        <v>23</v>
      </c>
    </row>
    <row r="27" spans="1:17" ht="15">
      <c r="A27" t="s">
        <v>17</v>
      </c>
      <c r="B27" s="1">
        <v>41807</v>
      </c>
      <c r="C27" t="s">
        <v>35</v>
      </c>
      <c r="D27" t="str">
        <f>CONCATENATE("0130009285","")</f>
        <v>0130009285</v>
      </c>
      <c r="E27" t="str">
        <f>CONCATENATE("0020103000430       ","")</f>
        <v>0020103000430       </v>
      </c>
      <c r="F27" t="str">
        <f>CONCATENATE("01100024","")</f>
        <v>01100024</v>
      </c>
      <c r="G27" t="s">
        <v>75</v>
      </c>
      <c r="H27" t="s">
        <v>78</v>
      </c>
      <c r="I27" t="s">
        <v>79</v>
      </c>
      <c r="J27" t="str">
        <f>CONCATENATE("080203","")</f>
        <v>080203</v>
      </c>
      <c r="K27" t="s">
        <v>21</v>
      </c>
      <c r="L27" t="s">
        <v>22</v>
      </c>
      <c r="M27" t="str">
        <f t="shared" si="5"/>
        <v>1</v>
      </c>
      <c r="O27" t="str">
        <f>CONCATENATE("2 ","")</f>
        <v>2 </v>
      </c>
      <c r="P27">
        <v>78.8</v>
      </c>
      <c r="Q27" t="s">
        <v>23</v>
      </c>
    </row>
    <row r="28" spans="1:17" ht="15">
      <c r="A28" t="s">
        <v>17</v>
      </c>
      <c r="B28" s="1">
        <v>41807</v>
      </c>
      <c r="C28" t="s">
        <v>35</v>
      </c>
      <c r="D28" t="str">
        <f>CONCATENATE("0130011366","")</f>
        <v>0130011366</v>
      </c>
      <c r="E28" t="str">
        <f>CONCATENATE("0020103000533       ","")</f>
        <v>0020103000533       </v>
      </c>
      <c r="F28" t="str">
        <f>CONCATENATE("00002009","")</f>
        <v>00002009</v>
      </c>
      <c r="G28" t="s">
        <v>75</v>
      </c>
      <c r="H28" t="s">
        <v>80</v>
      </c>
      <c r="I28" t="s">
        <v>81</v>
      </c>
      <c r="J28" t="str">
        <f>CONCATENATE("080203","")</f>
        <v>080203</v>
      </c>
      <c r="K28" t="s">
        <v>21</v>
      </c>
      <c r="L28" t="s">
        <v>22</v>
      </c>
      <c r="M28" t="str">
        <f t="shared" si="5"/>
        <v>1</v>
      </c>
      <c r="O28" t="str">
        <f>CONCATENATE("2 ","")</f>
        <v>2 </v>
      </c>
      <c r="P28">
        <v>37.9</v>
      </c>
      <c r="Q28" t="s">
        <v>23</v>
      </c>
    </row>
    <row r="29" spans="1:17" ht="15">
      <c r="A29" t="s">
        <v>17</v>
      </c>
      <c r="B29" s="1">
        <v>41807</v>
      </c>
      <c r="C29" t="s">
        <v>18</v>
      </c>
      <c r="D29" t="str">
        <f>CONCATENATE("0130017159","")</f>
        <v>0130017159</v>
      </c>
      <c r="E29" t="str">
        <f>CONCATENATE("0020106001030       ","")</f>
        <v>0020106001030       </v>
      </c>
      <c r="F29" t="str">
        <f>CONCATENATE("605761686","")</f>
        <v>605761686</v>
      </c>
      <c r="G29" t="s">
        <v>82</v>
      </c>
      <c r="H29" t="s">
        <v>83</v>
      </c>
      <c r="I29" t="s">
        <v>84</v>
      </c>
      <c r="J29" t="str">
        <f aca="true" t="shared" si="6" ref="J29:J37">CONCATENATE("080201","")</f>
        <v>080201</v>
      </c>
      <c r="K29" t="s">
        <v>21</v>
      </c>
      <c r="L29" t="s">
        <v>22</v>
      </c>
      <c r="M29" t="str">
        <f t="shared" si="5"/>
        <v>1</v>
      </c>
      <c r="O29" t="str">
        <f>CONCATENATE("1 ","")</f>
        <v>1 </v>
      </c>
      <c r="P29">
        <v>11.85</v>
      </c>
      <c r="Q29" t="s">
        <v>23</v>
      </c>
    </row>
    <row r="30" spans="1:17" ht="15">
      <c r="A30" t="s">
        <v>17</v>
      </c>
      <c r="B30" s="1">
        <v>41807</v>
      </c>
      <c r="C30" t="s">
        <v>18</v>
      </c>
      <c r="D30" t="str">
        <f>CONCATENATE("0130017143","")</f>
        <v>0130017143</v>
      </c>
      <c r="E30" t="str">
        <f>CONCATENATE("0020106001200       ","")</f>
        <v>0020106001200       </v>
      </c>
      <c r="F30" t="str">
        <f>CONCATENATE("605761670","")</f>
        <v>605761670</v>
      </c>
      <c r="G30" t="s">
        <v>82</v>
      </c>
      <c r="H30" t="s">
        <v>85</v>
      </c>
      <c r="I30" t="s">
        <v>84</v>
      </c>
      <c r="J30" t="str">
        <f t="shared" si="6"/>
        <v>080201</v>
      </c>
      <c r="K30" t="s">
        <v>21</v>
      </c>
      <c r="L30" t="s">
        <v>22</v>
      </c>
      <c r="M30" t="str">
        <f t="shared" si="5"/>
        <v>1</v>
      </c>
      <c r="O30" t="str">
        <f>CONCATENATE("4 ","")</f>
        <v>4 </v>
      </c>
      <c r="P30">
        <v>36.45</v>
      </c>
      <c r="Q30" t="s">
        <v>23</v>
      </c>
    </row>
    <row r="31" spans="1:17" ht="15">
      <c r="A31" t="s">
        <v>17</v>
      </c>
      <c r="B31" s="1">
        <v>41807</v>
      </c>
      <c r="C31" t="s">
        <v>18</v>
      </c>
      <c r="D31" t="str">
        <f>CONCATENATE("0130009630","")</f>
        <v>0130009630</v>
      </c>
      <c r="E31" t="str">
        <f>CONCATENATE("0020114000473       ","")</f>
        <v>0020114000473       </v>
      </c>
      <c r="F31" t="str">
        <f>CONCATENATE("605742889","")</f>
        <v>605742889</v>
      </c>
      <c r="G31" t="s">
        <v>86</v>
      </c>
      <c r="H31" t="s">
        <v>87</v>
      </c>
      <c r="I31" t="s">
        <v>88</v>
      </c>
      <c r="J31" t="str">
        <f t="shared" si="6"/>
        <v>080201</v>
      </c>
      <c r="K31" t="s">
        <v>21</v>
      </c>
      <c r="L31" t="s">
        <v>22</v>
      </c>
      <c r="M31" t="str">
        <f t="shared" si="5"/>
        <v>1</v>
      </c>
      <c r="O31" t="str">
        <f>CONCATENATE("1 ","")</f>
        <v>1 </v>
      </c>
      <c r="P31">
        <v>50.5</v>
      </c>
      <c r="Q31" t="s">
        <v>23</v>
      </c>
    </row>
    <row r="32" spans="1:17" ht="15">
      <c r="A32" t="s">
        <v>17</v>
      </c>
      <c r="B32" s="1">
        <v>41807</v>
      </c>
      <c r="C32" t="s">
        <v>18</v>
      </c>
      <c r="D32" t="str">
        <f>CONCATENATE("0130009392","")</f>
        <v>0130009392</v>
      </c>
      <c r="E32" t="str">
        <f>CONCATENATE("0020114000600       ","")</f>
        <v>0020114000600       </v>
      </c>
      <c r="F32" t="str">
        <f>CONCATENATE("605398971","")</f>
        <v>605398971</v>
      </c>
      <c r="G32" t="s">
        <v>86</v>
      </c>
      <c r="H32" t="s">
        <v>89</v>
      </c>
      <c r="I32" t="s">
        <v>90</v>
      </c>
      <c r="J32" t="str">
        <f t="shared" si="6"/>
        <v>080201</v>
      </c>
      <c r="K32" t="s">
        <v>21</v>
      </c>
      <c r="L32" t="s">
        <v>22</v>
      </c>
      <c r="M32" t="str">
        <f t="shared" si="5"/>
        <v>1</v>
      </c>
      <c r="O32" t="str">
        <f>CONCATENATE("1 ","")</f>
        <v>1 </v>
      </c>
      <c r="P32">
        <v>13.75</v>
      </c>
      <c r="Q32" t="s">
        <v>23</v>
      </c>
    </row>
    <row r="33" spans="1:17" ht="15">
      <c r="A33" t="s">
        <v>17</v>
      </c>
      <c r="B33" s="1">
        <v>41807</v>
      </c>
      <c r="C33" t="s">
        <v>18</v>
      </c>
      <c r="D33" t="str">
        <f>CONCATENATE("0130009692","")</f>
        <v>0130009692</v>
      </c>
      <c r="E33" t="str">
        <f>CONCATENATE("0020115000021       ","")</f>
        <v>0020115000021       </v>
      </c>
      <c r="F33" t="str">
        <f>CONCATENATE("605740602","")</f>
        <v>605740602</v>
      </c>
      <c r="G33" t="s">
        <v>91</v>
      </c>
      <c r="H33" t="s">
        <v>92</v>
      </c>
      <c r="I33" t="s">
        <v>93</v>
      </c>
      <c r="J33" t="str">
        <f t="shared" si="6"/>
        <v>080201</v>
      </c>
      <c r="K33" t="s">
        <v>21</v>
      </c>
      <c r="L33" t="s">
        <v>22</v>
      </c>
      <c r="M33" t="str">
        <f t="shared" si="5"/>
        <v>1</v>
      </c>
      <c r="O33" t="str">
        <f>CONCATENATE("2 ","")</f>
        <v>2 </v>
      </c>
      <c r="P33">
        <v>18</v>
      </c>
      <c r="Q33" t="s">
        <v>23</v>
      </c>
    </row>
    <row r="34" spans="1:17" ht="15">
      <c r="A34" t="s">
        <v>17</v>
      </c>
      <c r="B34" s="1">
        <v>41807</v>
      </c>
      <c r="C34" t="s">
        <v>18</v>
      </c>
      <c r="D34" t="str">
        <f>CONCATENATE("0130009435","")</f>
        <v>0130009435</v>
      </c>
      <c r="E34" t="str">
        <f>CONCATENATE("0020115000173       ","")</f>
        <v>0020115000173       </v>
      </c>
      <c r="F34" t="str">
        <f>CONCATENATE("605393728","")</f>
        <v>605393728</v>
      </c>
      <c r="G34" t="s">
        <v>91</v>
      </c>
      <c r="H34" t="s">
        <v>94</v>
      </c>
      <c r="I34" t="s">
        <v>95</v>
      </c>
      <c r="J34" t="str">
        <f t="shared" si="6"/>
        <v>080201</v>
      </c>
      <c r="K34" t="s">
        <v>21</v>
      </c>
      <c r="L34" t="s">
        <v>22</v>
      </c>
      <c r="M34" t="str">
        <f t="shared" si="5"/>
        <v>1</v>
      </c>
      <c r="O34" t="str">
        <f aca="true" t="shared" si="7" ref="O34:O40">CONCATENATE("1 ","")</f>
        <v>1 </v>
      </c>
      <c r="P34">
        <v>15.7</v>
      </c>
      <c r="Q34" t="s">
        <v>23</v>
      </c>
    </row>
    <row r="35" spans="1:17" ht="15">
      <c r="A35" t="s">
        <v>17</v>
      </c>
      <c r="B35" s="1">
        <v>41807</v>
      </c>
      <c r="C35" t="s">
        <v>18</v>
      </c>
      <c r="D35" t="str">
        <f>CONCATENATE("0130009336","")</f>
        <v>0130009336</v>
      </c>
      <c r="E35" t="str">
        <f>CONCATENATE("0020115000500       ","")</f>
        <v>0020115000500       </v>
      </c>
      <c r="F35" t="str">
        <f>CONCATENATE("06509759","")</f>
        <v>06509759</v>
      </c>
      <c r="G35" t="s">
        <v>91</v>
      </c>
      <c r="H35" t="s">
        <v>96</v>
      </c>
      <c r="I35" t="s">
        <v>97</v>
      </c>
      <c r="J35" t="str">
        <f t="shared" si="6"/>
        <v>080201</v>
      </c>
      <c r="K35" t="s">
        <v>21</v>
      </c>
      <c r="L35" t="s">
        <v>22</v>
      </c>
      <c r="M35" t="str">
        <f t="shared" si="5"/>
        <v>1</v>
      </c>
      <c r="O35" t="str">
        <f t="shared" si="7"/>
        <v>1 </v>
      </c>
      <c r="P35">
        <v>29.6</v>
      </c>
      <c r="Q35" t="s">
        <v>23</v>
      </c>
    </row>
    <row r="36" spans="1:17" ht="15">
      <c r="A36" t="s">
        <v>17</v>
      </c>
      <c r="B36" s="1">
        <v>41807</v>
      </c>
      <c r="C36" t="s">
        <v>18</v>
      </c>
      <c r="D36" t="str">
        <f>CONCATENATE("0130009699","")</f>
        <v>0130009699</v>
      </c>
      <c r="E36" t="str">
        <f>CONCATENATE("0020115000796       ","")</f>
        <v>0020115000796       </v>
      </c>
      <c r="F36" t="str">
        <f>CONCATENATE("0606035148","")</f>
        <v>0606035148</v>
      </c>
      <c r="G36" t="s">
        <v>91</v>
      </c>
      <c r="H36" t="s">
        <v>98</v>
      </c>
      <c r="I36" t="s">
        <v>93</v>
      </c>
      <c r="J36" t="str">
        <f t="shared" si="6"/>
        <v>080201</v>
      </c>
      <c r="K36" t="s">
        <v>21</v>
      </c>
      <c r="L36" t="s">
        <v>22</v>
      </c>
      <c r="M36" t="str">
        <f t="shared" si="5"/>
        <v>1</v>
      </c>
      <c r="O36" t="str">
        <f t="shared" si="7"/>
        <v>1 </v>
      </c>
      <c r="P36">
        <v>11.4</v>
      </c>
      <c r="Q36" t="s">
        <v>23</v>
      </c>
    </row>
    <row r="37" spans="1:17" ht="15">
      <c r="A37" t="s">
        <v>17</v>
      </c>
      <c r="B37" s="1">
        <v>41807</v>
      </c>
      <c r="C37" t="s">
        <v>18</v>
      </c>
      <c r="D37" t="str">
        <f>CONCATENATE("0130009329","")</f>
        <v>0130009329</v>
      </c>
      <c r="E37" t="str">
        <f>CONCATENATE("0020115000820       ","")</f>
        <v>0020115000820       </v>
      </c>
      <c r="F37" t="str">
        <f>CONCATENATE("605121363","")</f>
        <v>605121363</v>
      </c>
      <c r="G37" t="s">
        <v>91</v>
      </c>
      <c r="H37" t="s">
        <v>99</v>
      </c>
      <c r="I37" t="s">
        <v>97</v>
      </c>
      <c r="J37" t="str">
        <f t="shared" si="6"/>
        <v>080201</v>
      </c>
      <c r="K37" t="s">
        <v>21</v>
      </c>
      <c r="L37" t="s">
        <v>22</v>
      </c>
      <c r="M37" t="str">
        <f t="shared" si="5"/>
        <v>1</v>
      </c>
      <c r="O37" t="str">
        <f t="shared" si="7"/>
        <v>1 </v>
      </c>
      <c r="P37">
        <v>43.15</v>
      </c>
      <c r="Q37" t="s">
        <v>23</v>
      </c>
    </row>
    <row r="38" spans="1:17" ht="15">
      <c r="A38" t="s">
        <v>17</v>
      </c>
      <c r="B38" s="1">
        <v>41807</v>
      </c>
      <c r="C38" t="s">
        <v>100</v>
      </c>
      <c r="D38" t="str">
        <f>CONCATENATE("0130000304","")</f>
        <v>0130000304</v>
      </c>
      <c r="E38" t="str">
        <f>CONCATENATE("0020120000150       ","")</f>
        <v>0020120000150       </v>
      </c>
      <c r="F38" t="str">
        <f>CONCATENATE("605740606","")</f>
        <v>605740606</v>
      </c>
      <c r="G38" t="s">
        <v>101</v>
      </c>
      <c r="H38" t="s">
        <v>102</v>
      </c>
      <c r="I38" t="s">
        <v>103</v>
      </c>
      <c r="J38" t="str">
        <f>CONCATENATE("080207","")</f>
        <v>080207</v>
      </c>
      <c r="K38" t="s">
        <v>21</v>
      </c>
      <c r="L38" t="s">
        <v>22</v>
      </c>
      <c r="M38" t="str">
        <f t="shared" si="5"/>
        <v>1</v>
      </c>
      <c r="O38" t="str">
        <f t="shared" si="7"/>
        <v>1 </v>
      </c>
      <c r="P38">
        <v>15</v>
      </c>
      <c r="Q38" t="s">
        <v>23</v>
      </c>
    </row>
    <row r="39" spans="1:17" ht="15">
      <c r="A39" t="s">
        <v>17</v>
      </c>
      <c r="B39" s="1">
        <v>41807</v>
      </c>
      <c r="C39" t="s">
        <v>100</v>
      </c>
      <c r="D39" t="str">
        <f>CONCATENATE("0040033844","")</f>
        <v>0040033844</v>
      </c>
      <c r="E39" t="str">
        <f>CONCATENATE("0020120000367       ","")</f>
        <v>0020120000367       </v>
      </c>
      <c r="F39" t="str">
        <f>CONCATENATE("606670324","")</f>
        <v>606670324</v>
      </c>
      <c r="G39" t="s">
        <v>101</v>
      </c>
      <c r="H39" t="s">
        <v>104</v>
      </c>
      <c r="I39" t="s">
        <v>105</v>
      </c>
      <c r="J39" t="str">
        <f>CONCATENATE("080207","")</f>
        <v>080207</v>
      </c>
      <c r="K39" t="s">
        <v>21</v>
      </c>
      <c r="L39" t="s">
        <v>22</v>
      </c>
      <c r="M39" t="str">
        <f t="shared" si="5"/>
        <v>1</v>
      </c>
      <c r="O39" t="str">
        <f t="shared" si="7"/>
        <v>1 </v>
      </c>
      <c r="P39">
        <v>33.35</v>
      </c>
      <c r="Q39" t="s">
        <v>23</v>
      </c>
    </row>
    <row r="40" spans="1:17" ht="15">
      <c r="A40" t="s">
        <v>17</v>
      </c>
      <c r="B40" s="1">
        <v>41807</v>
      </c>
      <c r="C40" t="s">
        <v>100</v>
      </c>
      <c r="D40" t="str">
        <f>CONCATENATE("0130000323","")</f>
        <v>0130000323</v>
      </c>
      <c r="E40" t="str">
        <f>CONCATENATE("0020120000610       ","")</f>
        <v>0020120000610       </v>
      </c>
      <c r="F40" t="str">
        <f>CONCATENATE("00000000562","")</f>
        <v>00000000562</v>
      </c>
      <c r="G40" t="s">
        <v>101</v>
      </c>
      <c r="H40" t="s">
        <v>106</v>
      </c>
      <c r="I40" t="s">
        <v>103</v>
      </c>
      <c r="J40" t="str">
        <f>CONCATENATE("080207","")</f>
        <v>080207</v>
      </c>
      <c r="K40" t="s">
        <v>21</v>
      </c>
      <c r="L40" t="s">
        <v>22</v>
      </c>
      <c r="M40" t="str">
        <f t="shared" si="5"/>
        <v>1</v>
      </c>
      <c r="O40" t="str">
        <f t="shared" si="7"/>
        <v>1 </v>
      </c>
      <c r="P40">
        <v>35.2</v>
      </c>
      <c r="Q40" t="s">
        <v>23</v>
      </c>
    </row>
    <row r="41" spans="1:17" ht="15">
      <c r="A41" t="s">
        <v>17</v>
      </c>
      <c r="B41" s="1">
        <v>41807</v>
      </c>
      <c r="C41" t="s">
        <v>107</v>
      </c>
      <c r="D41" t="str">
        <f>CONCATENATE("0040033389","")</f>
        <v>0040033389</v>
      </c>
      <c r="E41" t="str">
        <f>CONCATENATE("0020120001013       ","")</f>
        <v>0020120001013       </v>
      </c>
      <c r="F41" t="str">
        <f>CONCATENATE("606667413","")</f>
        <v>606667413</v>
      </c>
      <c r="G41" t="s">
        <v>108</v>
      </c>
      <c r="H41" t="s">
        <v>109</v>
      </c>
      <c r="I41" t="s">
        <v>110</v>
      </c>
      <c r="J41" t="str">
        <f>CONCATENATE("080205","")</f>
        <v>080205</v>
      </c>
      <c r="K41" t="s">
        <v>21</v>
      </c>
      <c r="L41" t="s">
        <v>22</v>
      </c>
      <c r="M41" t="str">
        <f t="shared" si="5"/>
        <v>1</v>
      </c>
      <c r="O41" t="str">
        <f>CONCATENATE("3 ","")</f>
        <v>3 </v>
      </c>
      <c r="P41">
        <v>22.85</v>
      </c>
      <c r="Q41" t="s">
        <v>23</v>
      </c>
    </row>
    <row r="42" spans="1:17" ht="15">
      <c r="A42" t="s">
        <v>17</v>
      </c>
      <c r="B42" s="1">
        <v>41807</v>
      </c>
      <c r="C42" t="s">
        <v>100</v>
      </c>
      <c r="D42" t="str">
        <f>CONCATENATE("0130000363","")</f>
        <v>0130000363</v>
      </c>
      <c r="E42" t="str">
        <f>CONCATENATE("0020125000170       ","")</f>
        <v>0020125000170       </v>
      </c>
      <c r="F42" t="str">
        <f>CONCATENATE("605390518","")</f>
        <v>605390518</v>
      </c>
      <c r="G42" t="s">
        <v>111</v>
      </c>
      <c r="H42" t="s">
        <v>112</v>
      </c>
      <c r="I42" t="s">
        <v>113</v>
      </c>
      <c r="J42" t="str">
        <f>CONCATENATE("080207","")</f>
        <v>080207</v>
      </c>
      <c r="K42" t="s">
        <v>21</v>
      </c>
      <c r="L42" t="s">
        <v>22</v>
      </c>
      <c r="M42" t="str">
        <f t="shared" si="5"/>
        <v>1</v>
      </c>
      <c r="O42" t="str">
        <f>CONCATENATE("1 ","")</f>
        <v>1 </v>
      </c>
      <c r="P42">
        <v>77.15</v>
      </c>
      <c r="Q42" t="s">
        <v>23</v>
      </c>
    </row>
    <row r="43" spans="1:17" ht="15">
      <c r="A43" t="s">
        <v>17</v>
      </c>
      <c r="B43" s="1">
        <v>41807</v>
      </c>
      <c r="C43" t="s">
        <v>100</v>
      </c>
      <c r="D43" t="str">
        <f>CONCATENATE("0130011803","")</f>
        <v>0130011803</v>
      </c>
      <c r="E43" t="str">
        <f>CONCATENATE("0020130000500       ","")</f>
        <v>0020130000500       </v>
      </c>
      <c r="F43" t="str">
        <f>CONCATENATE("00010618144","")</f>
        <v>00010618144</v>
      </c>
      <c r="G43" t="s">
        <v>114</v>
      </c>
      <c r="H43" t="s">
        <v>115</v>
      </c>
      <c r="I43" t="s">
        <v>116</v>
      </c>
      <c r="J43" t="str">
        <f>CONCATENATE("080207","")</f>
        <v>080207</v>
      </c>
      <c r="K43" t="s">
        <v>21</v>
      </c>
      <c r="L43" t="s">
        <v>22</v>
      </c>
      <c r="M43" t="str">
        <f t="shared" si="5"/>
        <v>1</v>
      </c>
      <c r="O43" t="str">
        <f>CONCATENATE("1 ","")</f>
        <v>1 </v>
      </c>
      <c r="P43">
        <v>12.3</v>
      </c>
      <c r="Q43" t="s">
        <v>23</v>
      </c>
    </row>
    <row r="44" spans="1:17" ht="15">
      <c r="A44" t="s">
        <v>17</v>
      </c>
      <c r="B44" s="1">
        <v>41807</v>
      </c>
      <c r="C44" t="s">
        <v>18</v>
      </c>
      <c r="D44" t="str">
        <f>CONCATENATE("0130019227","")</f>
        <v>0130019227</v>
      </c>
      <c r="E44" t="str">
        <f>CONCATENATE("0020155002080       ","")</f>
        <v>0020155002080       </v>
      </c>
      <c r="F44" t="str">
        <f>CONCATENATE("90500344","")</f>
        <v>90500344</v>
      </c>
      <c r="G44" t="s">
        <v>117</v>
      </c>
      <c r="H44" t="s">
        <v>118</v>
      </c>
      <c r="I44" t="s">
        <v>119</v>
      </c>
      <c r="J44" t="str">
        <f aca="true" t="shared" si="8" ref="J44:J53">CONCATENATE("080201","")</f>
        <v>080201</v>
      </c>
      <c r="K44" t="s">
        <v>21</v>
      </c>
      <c r="L44" t="s">
        <v>22</v>
      </c>
      <c r="M44" t="str">
        <f t="shared" si="5"/>
        <v>1</v>
      </c>
      <c r="O44" t="str">
        <f>CONCATENATE("7 ","")</f>
        <v>7 </v>
      </c>
      <c r="P44">
        <v>139.75</v>
      </c>
      <c r="Q44" t="s">
        <v>23</v>
      </c>
    </row>
    <row r="45" spans="1:17" ht="15">
      <c r="A45" t="s">
        <v>17</v>
      </c>
      <c r="B45" s="1">
        <v>41807</v>
      </c>
      <c r="C45" t="s">
        <v>18</v>
      </c>
      <c r="D45" t="str">
        <f>CONCATENATE("0130017738","")</f>
        <v>0130017738</v>
      </c>
      <c r="E45" t="str">
        <f>CONCATENATE("0020160001050       ","")</f>
        <v>0020160001050       </v>
      </c>
      <c r="F45" t="str">
        <f>CONCATENATE("90601429","")</f>
        <v>90601429</v>
      </c>
      <c r="G45" t="s">
        <v>120</v>
      </c>
      <c r="H45" t="s">
        <v>121</v>
      </c>
      <c r="I45" t="s">
        <v>122</v>
      </c>
      <c r="J45" t="str">
        <f t="shared" si="8"/>
        <v>080201</v>
      </c>
      <c r="K45" t="s">
        <v>21</v>
      </c>
      <c r="L45" t="s">
        <v>22</v>
      </c>
      <c r="M45" t="str">
        <f t="shared" si="5"/>
        <v>1</v>
      </c>
      <c r="O45" t="str">
        <f>CONCATENATE("7 ","")</f>
        <v>7 </v>
      </c>
      <c r="P45">
        <v>309.1</v>
      </c>
      <c r="Q45" t="s">
        <v>23</v>
      </c>
    </row>
    <row r="46" spans="1:17" ht="15">
      <c r="A46" t="s">
        <v>17</v>
      </c>
      <c r="B46" s="1">
        <v>41807</v>
      </c>
      <c r="C46" t="s">
        <v>18</v>
      </c>
      <c r="D46" t="str">
        <f>CONCATENATE("0040027447","")</f>
        <v>0040027447</v>
      </c>
      <c r="E46" t="str">
        <f>CONCATENATE("0020160001125       ","")</f>
        <v>0020160001125       </v>
      </c>
      <c r="F46" t="str">
        <f>CONCATENATE("90601713","")</f>
        <v>90601713</v>
      </c>
      <c r="G46" t="s">
        <v>120</v>
      </c>
      <c r="H46" t="s">
        <v>123</v>
      </c>
      <c r="I46" t="s">
        <v>124</v>
      </c>
      <c r="J46" t="str">
        <f t="shared" si="8"/>
        <v>080201</v>
      </c>
      <c r="K46" t="s">
        <v>21</v>
      </c>
      <c r="L46" t="s">
        <v>22</v>
      </c>
      <c r="M46" t="str">
        <f t="shared" si="5"/>
        <v>1</v>
      </c>
      <c r="O46" t="str">
        <f>CONCATENATE("1 ","")</f>
        <v>1 </v>
      </c>
      <c r="P46">
        <v>12.95</v>
      </c>
      <c r="Q46" t="s">
        <v>23</v>
      </c>
    </row>
    <row r="47" spans="1:17" ht="15">
      <c r="A47" t="s">
        <v>17</v>
      </c>
      <c r="B47" s="1">
        <v>41807</v>
      </c>
      <c r="C47" t="s">
        <v>18</v>
      </c>
      <c r="D47" t="str">
        <f>CONCATENATE("0130017673","")</f>
        <v>0130017673</v>
      </c>
      <c r="E47" t="str">
        <f>CONCATENATE("0020160001240       ","")</f>
        <v>0020160001240       </v>
      </c>
      <c r="F47" t="str">
        <f>CONCATENATE("90601858","")</f>
        <v>90601858</v>
      </c>
      <c r="G47" t="s">
        <v>120</v>
      </c>
      <c r="H47" t="s">
        <v>125</v>
      </c>
      <c r="I47" t="s">
        <v>122</v>
      </c>
      <c r="J47" t="str">
        <f t="shared" si="8"/>
        <v>080201</v>
      </c>
      <c r="K47" t="s">
        <v>21</v>
      </c>
      <c r="L47" t="s">
        <v>22</v>
      </c>
      <c r="M47" t="str">
        <f t="shared" si="5"/>
        <v>1</v>
      </c>
      <c r="O47" t="str">
        <f>CONCATENATE("1 ","")</f>
        <v>1 </v>
      </c>
      <c r="P47">
        <v>11.95</v>
      </c>
      <c r="Q47" t="s">
        <v>23</v>
      </c>
    </row>
    <row r="48" spans="1:17" ht="15">
      <c r="A48" t="s">
        <v>17</v>
      </c>
      <c r="B48" s="1">
        <v>41807</v>
      </c>
      <c r="C48" t="s">
        <v>18</v>
      </c>
      <c r="D48" t="str">
        <f>CONCATENATE("0130017707","")</f>
        <v>0130017707</v>
      </c>
      <c r="E48" t="str">
        <f>CONCATENATE("0020160002520       ","")</f>
        <v>0020160002520       </v>
      </c>
      <c r="F48" t="str">
        <f>CONCATENATE("90601716","")</f>
        <v>90601716</v>
      </c>
      <c r="G48" t="s">
        <v>120</v>
      </c>
      <c r="H48" t="s">
        <v>126</v>
      </c>
      <c r="I48" t="s">
        <v>122</v>
      </c>
      <c r="J48" t="str">
        <f t="shared" si="8"/>
        <v>080201</v>
      </c>
      <c r="K48" t="s">
        <v>21</v>
      </c>
      <c r="L48" t="s">
        <v>22</v>
      </c>
      <c r="M48" t="str">
        <f t="shared" si="5"/>
        <v>1</v>
      </c>
      <c r="O48" t="str">
        <f>CONCATENATE("2 ","")</f>
        <v>2 </v>
      </c>
      <c r="P48">
        <v>29.1</v>
      </c>
      <c r="Q48" t="s">
        <v>23</v>
      </c>
    </row>
    <row r="49" spans="1:17" ht="15">
      <c r="A49" t="s">
        <v>17</v>
      </c>
      <c r="B49" s="1">
        <v>41807</v>
      </c>
      <c r="C49" t="s">
        <v>18</v>
      </c>
      <c r="D49" t="str">
        <f>CONCATENATE("0130017746","")</f>
        <v>0130017746</v>
      </c>
      <c r="E49" t="str">
        <f>CONCATENATE("0020165001150       ","")</f>
        <v>0020165001150       </v>
      </c>
      <c r="F49" t="str">
        <f>CONCATENATE("90601217","")</f>
        <v>90601217</v>
      </c>
      <c r="G49" t="s">
        <v>127</v>
      </c>
      <c r="H49" t="s">
        <v>128</v>
      </c>
      <c r="I49" t="s">
        <v>129</v>
      </c>
      <c r="J49" t="str">
        <f t="shared" si="8"/>
        <v>080201</v>
      </c>
      <c r="K49" t="s">
        <v>21</v>
      </c>
      <c r="L49" t="s">
        <v>22</v>
      </c>
      <c r="M49" t="str">
        <f t="shared" si="5"/>
        <v>1</v>
      </c>
      <c r="O49" t="str">
        <f>CONCATENATE("3 ","")</f>
        <v>3 </v>
      </c>
      <c r="P49">
        <v>219.65</v>
      </c>
      <c r="Q49" t="s">
        <v>23</v>
      </c>
    </row>
    <row r="50" spans="1:17" ht="15">
      <c r="A50" t="s">
        <v>17</v>
      </c>
      <c r="B50" s="1">
        <v>41807</v>
      </c>
      <c r="C50" t="s">
        <v>18</v>
      </c>
      <c r="D50" t="str">
        <f>CONCATENATE("0130017763","")</f>
        <v>0130017763</v>
      </c>
      <c r="E50" t="str">
        <f>CONCATENATE("0020165002090       ","")</f>
        <v>0020165002090       </v>
      </c>
      <c r="F50" t="str">
        <f>CONCATENATE("90500518","")</f>
        <v>90500518</v>
      </c>
      <c r="G50" t="s">
        <v>127</v>
      </c>
      <c r="H50" t="s">
        <v>69</v>
      </c>
      <c r="I50" t="s">
        <v>129</v>
      </c>
      <c r="J50" t="str">
        <f t="shared" si="8"/>
        <v>080201</v>
      </c>
      <c r="K50" t="s">
        <v>21</v>
      </c>
      <c r="L50" t="s">
        <v>22</v>
      </c>
      <c r="M50" t="str">
        <f t="shared" si="5"/>
        <v>1</v>
      </c>
      <c r="O50" t="str">
        <f>CONCATENATE("1 ","")</f>
        <v>1 </v>
      </c>
      <c r="P50">
        <v>12</v>
      </c>
      <c r="Q50" t="s">
        <v>23</v>
      </c>
    </row>
    <row r="51" spans="1:17" ht="15">
      <c r="A51" t="s">
        <v>17</v>
      </c>
      <c r="B51" s="1">
        <v>41807</v>
      </c>
      <c r="C51" t="s">
        <v>18</v>
      </c>
      <c r="D51" t="str">
        <f>CONCATENATE("0130021607","")</f>
        <v>0130021607</v>
      </c>
      <c r="E51" t="str">
        <f>CONCATENATE("0020185001051       ","")</f>
        <v>0020185001051       </v>
      </c>
      <c r="F51" t="str">
        <f>CONCATENATE("90601122","")</f>
        <v>90601122</v>
      </c>
      <c r="G51" t="s">
        <v>132</v>
      </c>
      <c r="H51" t="s">
        <v>130</v>
      </c>
      <c r="I51" t="s">
        <v>131</v>
      </c>
      <c r="J51" t="str">
        <f t="shared" si="8"/>
        <v>080201</v>
      </c>
      <c r="K51" t="s">
        <v>21</v>
      </c>
      <c r="L51" t="s">
        <v>22</v>
      </c>
      <c r="M51" t="str">
        <f t="shared" si="5"/>
        <v>1</v>
      </c>
      <c r="O51" t="str">
        <f>CONCATENATE("6 ","")</f>
        <v>6 </v>
      </c>
      <c r="P51">
        <v>44.65</v>
      </c>
      <c r="Q51" t="s">
        <v>23</v>
      </c>
    </row>
    <row r="52" spans="1:17" ht="15">
      <c r="A52" t="s">
        <v>17</v>
      </c>
      <c r="B52" s="1">
        <v>41807</v>
      </c>
      <c r="C52" t="s">
        <v>18</v>
      </c>
      <c r="D52" t="str">
        <f>CONCATENATE("0130019167","")</f>
        <v>0130019167</v>
      </c>
      <c r="E52" t="str">
        <f>CONCATENATE("0020185002060       ","")</f>
        <v>0020185002060       </v>
      </c>
      <c r="F52" t="str">
        <f>CONCATENATE("90601637","")</f>
        <v>90601637</v>
      </c>
      <c r="G52" t="s">
        <v>132</v>
      </c>
      <c r="H52" t="s">
        <v>133</v>
      </c>
      <c r="I52" t="s">
        <v>134</v>
      </c>
      <c r="J52" t="str">
        <f t="shared" si="8"/>
        <v>080201</v>
      </c>
      <c r="K52" t="s">
        <v>21</v>
      </c>
      <c r="L52" t="s">
        <v>22</v>
      </c>
      <c r="M52" t="str">
        <f t="shared" si="5"/>
        <v>1</v>
      </c>
      <c r="O52" t="str">
        <f>CONCATENATE("1 ","")</f>
        <v>1 </v>
      </c>
      <c r="P52">
        <v>16.85</v>
      </c>
      <c r="Q52" t="s">
        <v>23</v>
      </c>
    </row>
    <row r="53" spans="1:17" ht="15">
      <c r="A53" t="s">
        <v>17</v>
      </c>
      <c r="B53" s="1">
        <v>41807</v>
      </c>
      <c r="C53" t="s">
        <v>18</v>
      </c>
      <c r="D53" t="str">
        <f>CONCATENATE("0130019170","")</f>
        <v>0130019170</v>
      </c>
      <c r="E53" t="str">
        <f>CONCATENATE("0020195001080       ","")</f>
        <v>0020195001080       </v>
      </c>
      <c r="F53" t="str">
        <f>CONCATENATE("90601636","")</f>
        <v>90601636</v>
      </c>
      <c r="G53" t="s">
        <v>135</v>
      </c>
      <c r="H53" t="s">
        <v>136</v>
      </c>
      <c r="I53" t="s">
        <v>137</v>
      </c>
      <c r="J53" t="str">
        <f t="shared" si="8"/>
        <v>080201</v>
      </c>
      <c r="K53" t="s">
        <v>21</v>
      </c>
      <c r="L53" t="s">
        <v>22</v>
      </c>
      <c r="M53" t="str">
        <f t="shared" si="5"/>
        <v>1</v>
      </c>
      <c r="O53" t="str">
        <f>CONCATENATE("4 ","")</f>
        <v>4 </v>
      </c>
      <c r="P53">
        <v>32.8</v>
      </c>
      <c r="Q53" t="s">
        <v>23</v>
      </c>
    </row>
    <row r="54" spans="1:17" ht="15">
      <c r="A54" t="s">
        <v>17</v>
      </c>
      <c r="B54" s="1">
        <v>41807</v>
      </c>
      <c r="C54" t="s">
        <v>138</v>
      </c>
      <c r="D54" t="str">
        <f>CONCATENATE("0130020617","")</f>
        <v>0130020617</v>
      </c>
      <c r="E54" t="str">
        <f>CONCATENATE("0020201000180       ","")</f>
        <v>0020201000180       </v>
      </c>
      <c r="F54" t="str">
        <f>CONCATENATE("1673280","")</f>
        <v>1673280</v>
      </c>
      <c r="G54" t="s">
        <v>141</v>
      </c>
      <c r="H54" t="s">
        <v>139</v>
      </c>
      <c r="I54" t="s">
        <v>140</v>
      </c>
      <c r="J54" t="str">
        <f aca="true" t="shared" si="9" ref="J54:J69">CONCATENATE("080202","")</f>
        <v>080202</v>
      </c>
      <c r="K54" t="s">
        <v>21</v>
      </c>
      <c r="L54" t="s">
        <v>22</v>
      </c>
      <c r="M54" t="str">
        <f t="shared" si="5"/>
        <v>1</v>
      </c>
      <c r="O54" t="str">
        <f aca="true" t="shared" si="10" ref="O54:O64">CONCATENATE("1 ","")</f>
        <v>1 </v>
      </c>
      <c r="P54">
        <v>47.55</v>
      </c>
      <c r="Q54" t="s">
        <v>23</v>
      </c>
    </row>
    <row r="55" spans="1:17" ht="15">
      <c r="A55" t="s">
        <v>17</v>
      </c>
      <c r="B55" s="1">
        <v>41807</v>
      </c>
      <c r="C55" t="s">
        <v>138</v>
      </c>
      <c r="D55" t="str">
        <f>CONCATENATE("0130000462","")</f>
        <v>0130000462</v>
      </c>
      <c r="E55" t="str">
        <f>CONCATENATE("0020201001760       ","")</f>
        <v>0020201001760       </v>
      </c>
      <c r="F55" t="str">
        <f>CONCATENATE("605393452","")</f>
        <v>605393452</v>
      </c>
      <c r="G55" t="s">
        <v>141</v>
      </c>
      <c r="H55" t="s">
        <v>142</v>
      </c>
      <c r="I55" t="s">
        <v>143</v>
      </c>
      <c r="J55" t="str">
        <f t="shared" si="9"/>
        <v>080202</v>
      </c>
      <c r="K55" t="s">
        <v>21</v>
      </c>
      <c r="L55" t="s">
        <v>22</v>
      </c>
      <c r="M55" t="str">
        <f t="shared" si="5"/>
        <v>1</v>
      </c>
      <c r="O55" t="str">
        <f t="shared" si="10"/>
        <v>1 </v>
      </c>
      <c r="P55">
        <v>22.8</v>
      </c>
      <c r="Q55" t="s">
        <v>23</v>
      </c>
    </row>
    <row r="56" spans="1:17" ht="15">
      <c r="A56" t="s">
        <v>17</v>
      </c>
      <c r="B56" s="1">
        <v>41807</v>
      </c>
      <c r="C56" t="s">
        <v>138</v>
      </c>
      <c r="D56" t="str">
        <f>CONCATENATE("0130007564","")</f>
        <v>0130007564</v>
      </c>
      <c r="E56" t="str">
        <f>CONCATENATE("0020201002070       ","")</f>
        <v>0020201002070       </v>
      </c>
      <c r="F56" t="str">
        <f>CONCATENATE("606589858","")</f>
        <v>606589858</v>
      </c>
      <c r="G56" t="s">
        <v>141</v>
      </c>
      <c r="H56" t="s">
        <v>144</v>
      </c>
      <c r="I56" t="s">
        <v>145</v>
      </c>
      <c r="J56" t="str">
        <f t="shared" si="9"/>
        <v>080202</v>
      </c>
      <c r="K56" t="s">
        <v>21</v>
      </c>
      <c r="L56" t="s">
        <v>22</v>
      </c>
      <c r="M56" t="str">
        <f t="shared" si="5"/>
        <v>1</v>
      </c>
      <c r="O56" t="str">
        <f t="shared" si="10"/>
        <v>1 </v>
      </c>
      <c r="P56">
        <v>48.75</v>
      </c>
      <c r="Q56" t="s">
        <v>23</v>
      </c>
    </row>
    <row r="57" spans="1:17" ht="15">
      <c r="A57" t="s">
        <v>17</v>
      </c>
      <c r="B57" s="1">
        <v>41807</v>
      </c>
      <c r="C57" t="s">
        <v>138</v>
      </c>
      <c r="D57" t="str">
        <f>CONCATENATE("0130016875","")</f>
        <v>0130016875</v>
      </c>
      <c r="E57" t="str">
        <f>CONCATENATE("0020201002135       ","")</f>
        <v>0020201002135       </v>
      </c>
      <c r="F57" t="str">
        <f>CONCATENATE("112218","")</f>
        <v>112218</v>
      </c>
      <c r="G57" t="s">
        <v>141</v>
      </c>
      <c r="H57" t="s">
        <v>146</v>
      </c>
      <c r="I57" t="s">
        <v>147</v>
      </c>
      <c r="J57" t="str">
        <f t="shared" si="9"/>
        <v>080202</v>
      </c>
      <c r="K57" t="s">
        <v>21</v>
      </c>
      <c r="L57" t="s">
        <v>22</v>
      </c>
      <c r="M57" t="str">
        <f>CONCATENATE("3","")</f>
        <v>3</v>
      </c>
      <c r="O57" t="str">
        <f t="shared" si="10"/>
        <v>1 </v>
      </c>
      <c r="P57">
        <v>101.8</v>
      </c>
      <c r="Q57" t="s">
        <v>68</v>
      </c>
    </row>
    <row r="58" spans="1:17" ht="15">
      <c r="A58" t="s">
        <v>17</v>
      </c>
      <c r="B58" s="1">
        <v>41807</v>
      </c>
      <c r="C58" t="s">
        <v>138</v>
      </c>
      <c r="D58" t="str">
        <f>CONCATENATE("0130011739","")</f>
        <v>0130011739</v>
      </c>
      <c r="E58" t="str">
        <f>CONCATENATE("0020201002210       ","")</f>
        <v>0020201002210       </v>
      </c>
      <c r="F58" t="str">
        <f>CONCATENATE("605741849","")</f>
        <v>605741849</v>
      </c>
      <c r="G58" t="s">
        <v>141</v>
      </c>
      <c r="H58" t="s">
        <v>148</v>
      </c>
      <c r="I58" t="s">
        <v>149</v>
      </c>
      <c r="J58" t="str">
        <f t="shared" si="9"/>
        <v>080202</v>
      </c>
      <c r="K58" t="s">
        <v>21</v>
      </c>
      <c r="L58" t="s">
        <v>22</v>
      </c>
      <c r="M58" t="str">
        <f>CONCATENATE("1","")</f>
        <v>1</v>
      </c>
      <c r="O58" t="str">
        <f t="shared" si="10"/>
        <v>1 </v>
      </c>
      <c r="P58">
        <v>11.45</v>
      </c>
      <c r="Q58" t="s">
        <v>23</v>
      </c>
    </row>
    <row r="59" spans="1:17" ht="15">
      <c r="A59" t="s">
        <v>17</v>
      </c>
      <c r="B59" s="1">
        <v>41807</v>
      </c>
      <c r="C59" t="s">
        <v>138</v>
      </c>
      <c r="D59" t="str">
        <f>CONCATENATE("0130015041","")</f>
        <v>0130015041</v>
      </c>
      <c r="E59" t="str">
        <f>CONCATENATE("0020201002780       ","")</f>
        <v>0020201002780       </v>
      </c>
      <c r="F59" t="str">
        <f>CONCATENATE("605086698","")</f>
        <v>605086698</v>
      </c>
      <c r="G59" t="s">
        <v>141</v>
      </c>
      <c r="H59" t="s">
        <v>150</v>
      </c>
      <c r="I59" t="s">
        <v>151</v>
      </c>
      <c r="J59" t="str">
        <f t="shared" si="9"/>
        <v>080202</v>
      </c>
      <c r="K59" t="s">
        <v>21</v>
      </c>
      <c r="L59" t="s">
        <v>22</v>
      </c>
      <c r="M59" t="str">
        <f>CONCATENATE("1","")</f>
        <v>1</v>
      </c>
      <c r="O59" t="str">
        <f t="shared" si="10"/>
        <v>1 </v>
      </c>
      <c r="P59">
        <v>23.15</v>
      </c>
      <c r="Q59" t="s">
        <v>23</v>
      </c>
    </row>
    <row r="60" spans="1:17" ht="15">
      <c r="A60" t="s">
        <v>17</v>
      </c>
      <c r="B60" s="1">
        <v>41807</v>
      </c>
      <c r="C60" t="s">
        <v>138</v>
      </c>
      <c r="D60" t="str">
        <f>CONCATENATE("0130013472","")</f>
        <v>0130013472</v>
      </c>
      <c r="E60" t="str">
        <f>CONCATENATE("0020202000350       ","")</f>
        <v>0020202000350       </v>
      </c>
      <c r="F60" t="str">
        <f>CONCATENATE("606668232","")</f>
        <v>606668232</v>
      </c>
      <c r="G60" t="s">
        <v>141</v>
      </c>
      <c r="H60" t="s">
        <v>152</v>
      </c>
      <c r="I60" t="s">
        <v>153</v>
      </c>
      <c r="J60" t="str">
        <f t="shared" si="9"/>
        <v>080202</v>
      </c>
      <c r="K60" t="s">
        <v>21</v>
      </c>
      <c r="L60" t="s">
        <v>22</v>
      </c>
      <c r="M60" t="str">
        <f>CONCATENATE("1","")</f>
        <v>1</v>
      </c>
      <c r="O60" t="str">
        <f t="shared" si="10"/>
        <v>1 </v>
      </c>
      <c r="P60">
        <v>120.95</v>
      </c>
      <c r="Q60" t="s">
        <v>23</v>
      </c>
    </row>
    <row r="61" spans="1:17" ht="15">
      <c r="A61" t="s">
        <v>17</v>
      </c>
      <c r="B61" s="1">
        <v>41807</v>
      </c>
      <c r="C61" t="s">
        <v>138</v>
      </c>
      <c r="D61" t="str">
        <f>CONCATENATE("0130000529","")</f>
        <v>0130000529</v>
      </c>
      <c r="E61" t="str">
        <f>CONCATENATE("0020202000600       ","")</f>
        <v>0020202000600       </v>
      </c>
      <c r="F61" t="str">
        <f>CONCATENATE("0000BG-2380","")</f>
        <v>0000BG-2380</v>
      </c>
      <c r="G61" t="s">
        <v>141</v>
      </c>
      <c r="H61" t="s">
        <v>154</v>
      </c>
      <c r="I61" t="s">
        <v>155</v>
      </c>
      <c r="J61" t="str">
        <f t="shared" si="9"/>
        <v>080202</v>
      </c>
      <c r="K61" t="s">
        <v>21</v>
      </c>
      <c r="L61" t="s">
        <v>22</v>
      </c>
      <c r="M61" t="str">
        <f>CONCATENATE("3","")</f>
        <v>3</v>
      </c>
      <c r="O61" t="str">
        <f t="shared" si="10"/>
        <v>1 </v>
      </c>
      <c r="P61">
        <v>2720.7</v>
      </c>
      <c r="Q61" t="s">
        <v>68</v>
      </c>
    </row>
    <row r="62" spans="1:17" ht="15">
      <c r="A62" t="s">
        <v>17</v>
      </c>
      <c r="B62" s="1">
        <v>41807</v>
      </c>
      <c r="C62" t="s">
        <v>138</v>
      </c>
      <c r="D62" t="str">
        <f>CONCATENATE("0130007307","")</f>
        <v>0130007307</v>
      </c>
      <c r="E62" t="str">
        <f>CONCATENATE("0020202000970       ","")</f>
        <v>0020202000970       </v>
      </c>
      <c r="F62" t="str">
        <f>CONCATENATE("6950674","")</f>
        <v>6950674</v>
      </c>
      <c r="G62" t="s">
        <v>141</v>
      </c>
      <c r="H62" t="s">
        <v>156</v>
      </c>
      <c r="I62" t="str">
        <f>CONCATENATE("2-DE-MAYO--S-N-","")</f>
        <v>2-DE-MAYO--S-N-</v>
      </c>
      <c r="J62" t="str">
        <f t="shared" si="9"/>
        <v>080202</v>
      </c>
      <c r="K62" t="s">
        <v>21</v>
      </c>
      <c r="L62" t="s">
        <v>22</v>
      </c>
      <c r="M62" t="str">
        <f aca="true" t="shared" si="11" ref="M62:M103">CONCATENATE("1","")</f>
        <v>1</v>
      </c>
      <c r="O62" t="str">
        <f t="shared" si="10"/>
        <v>1 </v>
      </c>
      <c r="P62">
        <v>26.45</v>
      </c>
      <c r="Q62" t="s">
        <v>23</v>
      </c>
    </row>
    <row r="63" spans="1:17" ht="15">
      <c r="A63" t="s">
        <v>17</v>
      </c>
      <c r="B63" s="1">
        <v>41807</v>
      </c>
      <c r="C63" t="s">
        <v>138</v>
      </c>
      <c r="D63" t="str">
        <f>CONCATENATE("0130014539","")</f>
        <v>0130014539</v>
      </c>
      <c r="E63" t="str">
        <f>CONCATENATE("0020202000995       ","")</f>
        <v>0020202000995       </v>
      </c>
      <c r="F63" t="str">
        <f>CONCATENATE("1239812","")</f>
        <v>1239812</v>
      </c>
      <c r="G63" t="s">
        <v>141</v>
      </c>
      <c r="H63" t="s">
        <v>157</v>
      </c>
      <c r="I63" t="s">
        <v>158</v>
      </c>
      <c r="J63" t="str">
        <f t="shared" si="9"/>
        <v>080202</v>
      </c>
      <c r="K63" t="s">
        <v>21</v>
      </c>
      <c r="L63" t="s">
        <v>22</v>
      </c>
      <c r="M63" t="str">
        <f t="shared" si="11"/>
        <v>1</v>
      </c>
      <c r="O63" t="str">
        <f t="shared" si="10"/>
        <v>1 </v>
      </c>
      <c r="P63">
        <v>11.4</v>
      </c>
      <c r="Q63" t="s">
        <v>23</v>
      </c>
    </row>
    <row r="64" spans="1:17" ht="15">
      <c r="A64" t="s">
        <v>17</v>
      </c>
      <c r="B64" s="1">
        <v>41807</v>
      </c>
      <c r="C64" t="s">
        <v>138</v>
      </c>
      <c r="D64" t="str">
        <f>CONCATENATE("0130016883","")</f>
        <v>0130016883</v>
      </c>
      <c r="E64" t="str">
        <f>CONCATENATE("0020202001525       ","")</f>
        <v>0020202001525       </v>
      </c>
      <c r="F64" t="str">
        <f>CONCATENATE("605620204","")</f>
        <v>605620204</v>
      </c>
      <c r="G64" t="s">
        <v>141</v>
      </c>
      <c r="H64" t="s">
        <v>159</v>
      </c>
      <c r="I64" t="s">
        <v>160</v>
      </c>
      <c r="J64" t="str">
        <f t="shared" si="9"/>
        <v>080202</v>
      </c>
      <c r="K64" t="s">
        <v>21</v>
      </c>
      <c r="L64" t="s">
        <v>22</v>
      </c>
      <c r="M64" t="str">
        <f t="shared" si="11"/>
        <v>1</v>
      </c>
      <c r="O64" t="str">
        <f t="shared" si="10"/>
        <v>1 </v>
      </c>
      <c r="P64">
        <v>76.25</v>
      </c>
      <c r="Q64" t="s">
        <v>23</v>
      </c>
    </row>
    <row r="65" spans="1:17" ht="15">
      <c r="A65" t="s">
        <v>17</v>
      </c>
      <c r="B65" s="1">
        <v>41807</v>
      </c>
      <c r="C65" t="s">
        <v>138</v>
      </c>
      <c r="D65" t="str">
        <f>CONCATENATE("0130010961","")</f>
        <v>0130010961</v>
      </c>
      <c r="E65" t="str">
        <f>CONCATENATE("0020205000100       ","")</f>
        <v>0020205000100       </v>
      </c>
      <c r="F65" t="str">
        <f>CONCATENATE("606031494","")</f>
        <v>606031494</v>
      </c>
      <c r="G65" t="s">
        <v>161</v>
      </c>
      <c r="H65" t="s">
        <v>162</v>
      </c>
      <c r="I65" t="s">
        <v>163</v>
      </c>
      <c r="J65" t="str">
        <f t="shared" si="9"/>
        <v>080202</v>
      </c>
      <c r="K65" t="s">
        <v>21</v>
      </c>
      <c r="L65" t="s">
        <v>22</v>
      </c>
      <c r="M65" t="str">
        <f t="shared" si="11"/>
        <v>1</v>
      </c>
      <c r="O65" t="str">
        <f>CONCATENATE("2 ","")</f>
        <v>2 </v>
      </c>
      <c r="P65">
        <v>17.15</v>
      </c>
      <c r="Q65" t="s">
        <v>23</v>
      </c>
    </row>
    <row r="66" spans="1:17" ht="15">
      <c r="A66" t="s">
        <v>17</v>
      </c>
      <c r="B66" s="1">
        <v>41807</v>
      </c>
      <c r="C66" t="s">
        <v>138</v>
      </c>
      <c r="D66" t="str">
        <f>CONCATENATE("0130000621","")</f>
        <v>0130000621</v>
      </c>
      <c r="E66" t="str">
        <f>CONCATENATE("0020210000540       ","")</f>
        <v>0020210000540       </v>
      </c>
      <c r="F66" t="str">
        <f>CONCATENATE("605391853","")</f>
        <v>605391853</v>
      </c>
      <c r="G66" t="s">
        <v>164</v>
      </c>
      <c r="H66" t="s">
        <v>165</v>
      </c>
      <c r="I66" t="s">
        <v>166</v>
      </c>
      <c r="J66" t="str">
        <f t="shared" si="9"/>
        <v>080202</v>
      </c>
      <c r="K66" t="s">
        <v>21</v>
      </c>
      <c r="L66" t="s">
        <v>22</v>
      </c>
      <c r="M66" t="str">
        <f t="shared" si="11"/>
        <v>1</v>
      </c>
      <c r="O66" t="str">
        <f>CONCATENATE("1 ","")</f>
        <v>1 </v>
      </c>
      <c r="P66">
        <v>16.85</v>
      </c>
      <c r="Q66" t="s">
        <v>23</v>
      </c>
    </row>
    <row r="67" spans="1:17" ht="15">
      <c r="A67" t="s">
        <v>17</v>
      </c>
      <c r="B67" s="1">
        <v>41807</v>
      </c>
      <c r="C67" t="s">
        <v>138</v>
      </c>
      <c r="D67" t="str">
        <f>CONCATENATE("0130014937","")</f>
        <v>0130014937</v>
      </c>
      <c r="E67" t="str">
        <f>CONCATENATE("0020211001280       ","")</f>
        <v>0020211001280       </v>
      </c>
      <c r="F67" t="str">
        <f>CONCATENATE("606604222","")</f>
        <v>606604222</v>
      </c>
      <c r="G67" t="s">
        <v>164</v>
      </c>
      <c r="H67" t="s">
        <v>167</v>
      </c>
      <c r="I67" t="s">
        <v>168</v>
      </c>
      <c r="J67" t="str">
        <f t="shared" si="9"/>
        <v>080202</v>
      </c>
      <c r="K67" t="s">
        <v>21</v>
      </c>
      <c r="L67" t="s">
        <v>22</v>
      </c>
      <c r="M67" t="str">
        <f t="shared" si="11"/>
        <v>1</v>
      </c>
      <c r="O67" t="str">
        <f>CONCATENATE("1 ","")</f>
        <v>1 </v>
      </c>
      <c r="P67">
        <v>28.75</v>
      </c>
      <c r="Q67" t="s">
        <v>23</v>
      </c>
    </row>
    <row r="68" spans="1:17" ht="15">
      <c r="A68" t="s">
        <v>17</v>
      </c>
      <c r="B68" s="1">
        <v>41807</v>
      </c>
      <c r="C68" t="s">
        <v>138</v>
      </c>
      <c r="D68" t="str">
        <f>CONCATENATE("0130021081","")</f>
        <v>0130021081</v>
      </c>
      <c r="E68" t="str">
        <f>CONCATENATE("0020211001290       ","")</f>
        <v>0020211001290       </v>
      </c>
      <c r="F68" t="str">
        <f>CONCATENATE("1860250","")</f>
        <v>1860250</v>
      </c>
      <c r="G68" t="s">
        <v>164</v>
      </c>
      <c r="H68" t="s">
        <v>169</v>
      </c>
      <c r="I68" t="s">
        <v>170</v>
      </c>
      <c r="J68" t="str">
        <f t="shared" si="9"/>
        <v>080202</v>
      </c>
      <c r="K68" t="s">
        <v>21</v>
      </c>
      <c r="L68" t="s">
        <v>22</v>
      </c>
      <c r="M68" t="str">
        <f t="shared" si="11"/>
        <v>1</v>
      </c>
      <c r="O68" t="str">
        <f>CONCATENATE("7 ","")</f>
        <v>7 </v>
      </c>
      <c r="P68">
        <v>250.4</v>
      </c>
      <c r="Q68" t="s">
        <v>23</v>
      </c>
    </row>
    <row r="69" spans="1:17" ht="15">
      <c r="A69" t="s">
        <v>17</v>
      </c>
      <c r="B69" s="1">
        <v>41807</v>
      </c>
      <c r="C69" t="s">
        <v>138</v>
      </c>
      <c r="D69" t="str">
        <f>CONCATENATE("0130021443","")</f>
        <v>0130021443</v>
      </c>
      <c r="E69" t="str">
        <f>CONCATENATE("0020211001587       ","")</f>
        <v>0020211001587       </v>
      </c>
      <c r="F69" t="str">
        <f>CONCATENATE("1935830","")</f>
        <v>1935830</v>
      </c>
      <c r="G69" t="s">
        <v>164</v>
      </c>
      <c r="H69" t="s">
        <v>171</v>
      </c>
      <c r="I69" t="s">
        <v>172</v>
      </c>
      <c r="J69" t="str">
        <f t="shared" si="9"/>
        <v>080202</v>
      </c>
      <c r="K69" t="s">
        <v>21</v>
      </c>
      <c r="L69" t="s">
        <v>22</v>
      </c>
      <c r="M69" t="str">
        <f t="shared" si="11"/>
        <v>1</v>
      </c>
      <c r="O69" t="str">
        <f>CONCATENATE("2 ","")</f>
        <v>2 </v>
      </c>
      <c r="P69">
        <v>24</v>
      </c>
      <c r="Q69" t="s">
        <v>23</v>
      </c>
    </row>
    <row r="70" spans="1:17" ht="15">
      <c r="A70" t="s">
        <v>17</v>
      </c>
      <c r="B70" s="1">
        <v>41807</v>
      </c>
      <c r="C70" t="s">
        <v>173</v>
      </c>
      <c r="D70" t="str">
        <f>CONCATENATE("0130016380","")</f>
        <v>0130016380</v>
      </c>
      <c r="E70" t="str">
        <f>CONCATENATE("0020215002130       ","")</f>
        <v>0020215002130       </v>
      </c>
      <c r="F70" t="str">
        <f>CONCATENATE("863849","")</f>
        <v>863849</v>
      </c>
      <c r="G70" t="s">
        <v>174</v>
      </c>
      <c r="H70" t="s">
        <v>175</v>
      </c>
      <c r="I70" t="s">
        <v>176</v>
      </c>
      <c r="J70" t="str">
        <f>CONCATENATE("080204","")</f>
        <v>080204</v>
      </c>
      <c r="K70" t="s">
        <v>21</v>
      </c>
      <c r="L70" t="s">
        <v>22</v>
      </c>
      <c r="M70" t="str">
        <f t="shared" si="11"/>
        <v>1</v>
      </c>
      <c r="O70" t="str">
        <f>CONCATENATE("1 ","")</f>
        <v>1 </v>
      </c>
      <c r="P70">
        <v>13.15</v>
      </c>
      <c r="Q70" t="s">
        <v>23</v>
      </c>
    </row>
    <row r="71" spans="1:17" ht="15">
      <c r="A71" t="s">
        <v>17</v>
      </c>
      <c r="B71" s="1">
        <v>41807</v>
      </c>
      <c r="C71" t="s">
        <v>173</v>
      </c>
      <c r="D71" t="str">
        <f>CONCATENATE("0130009106","")</f>
        <v>0130009106</v>
      </c>
      <c r="E71" t="str">
        <f>CONCATENATE("0020230000345       ","")</f>
        <v>0020230000345       </v>
      </c>
      <c r="F71" t="str">
        <f>CONCATENATE("605347651","")</f>
        <v>605347651</v>
      </c>
      <c r="G71" t="s">
        <v>177</v>
      </c>
      <c r="H71" t="s">
        <v>178</v>
      </c>
      <c r="I71" t="s">
        <v>179</v>
      </c>
      <c r="J71" t="str">
        <f>CONCATENATE("080204","")</f>
        <v>080204</v>
      </c>
      <c r="K71" t="s">
        <v>21</v>
      </c>
      <c r="L71" t="s">
        <v>22</v>
      </c>
      <c r="M71" t="str">
        <f t="shared" si="11"/>
        <v>1</v>
      </c>
      <c r="O71" t="str">
        <f>CONCATENATE("1 ","")</f>
        <v>1 </v>
      </c>
      <c r="P71">
        <v>15.25</v>
      </c>
      <c r="Q71" t="s">
        <v>23</v>
      </c>
    </row>
    <row r="72" spans="1:17" ht="15">
      <c r="A72" t="s">
        <v>17</v>
      </c>
      <c r="B72" s="1">
        <v>41807</v>
      </c>
      <c r="C72" t="s">
        <v>173</v>
      </c>
      <c r="D72" t="str">
        <f>CONCATENATE("0130020404","")</f>
        <v>0130020404</v>
      </c>
      <c r="E72" t="str">
        <f>CONCATENATE("0020230000930       ","")</f>
        <v>0020230000930       </v>
      </c>
      <c r="F72" t="str">
        <f>CONCATENATE("1602647","")</f>
        <v>1602647</v>
      </c>
      <c r="G72" t="s">
        <v>177</v>
      </c>
      <c r="H72" t="s">
        <v>180</v>
      </c>
      <c r="I72" t="s">
        <v>181</v>
      </c>
      <c r="J72" t="str">
        <f>CONCATENATE("080204","")</f>
        <v>080204</v>
      </c>
      <c r="K72" t="s">
        <v>21</v>
      </c>
      <c r="L72" t="s">
        <v>22</v>
      </c>
      <c r="M72" t="str">
        <f t="shared" si="11"/>
        <v>1</v>
      </c>
      <c r="O72" t="str">
        <f>CONCATENATE("1 ","")</f>
        <v>1 </v>
      </c>
      <c r="P72">
        <v>53.55</v>
      </c>
      <c r="Q72" t="s">
        <v>23</v>
      </c>
    </row>
    <row r="73" spans="1:17" ht="15">
      <c r="A73" t="s">
        <v>17</v>
      </c>
      <c r="B73" s="1">
        <v>41807</v>
      </c>
      <c r="C73" t="s">
        <v>173</v>
      </c>
      <c r="D73" t="str">
        <f>CONCATENATE("0130000733","")</f>
        <v>0130000733</v>
      </c>
      <c r="E73" t="str">
        <f>CONCATENATE("0020230001080       ","")</f>
        <v>0020230001080       </v>
      </c>
      <c r="F73" t="str">
        <f>CONCATENATE("605120601","")</f>
        <v>605120601</v>
      </c>
      <c r="G73" t="s">
        <v>177</v>
      </c>
      <c r="H73" t="s">
        <v>182</v>
      </c>
      <c r="I73" t="s">
        <v>183</v>
      </c>
      <c r="J73" t="str">
        <f>CONCATENATE("080204","")</f>
        <v>080204</v>
      </c>
      <c r="K73" t="s">
        <v>21</v>
      </c>
      <c r="L73" t="s">
        <v>22</v>
      </c>
      <c r="M73" t="str">
        <f t="shared" si="11"/>
        <v>1</v>
      </c>
      <c r="O73" t="str">
        <f>CONCATENATE("1 ","")</f>
        <v>1 </v>
      </c>
      <c r="P73">
        <v>14.05</v>
      </c>
      <c r="Q73" t="s">
        <v>23</v>
      </c>
    </row>
    <row r="74" spans="1:17" ht="15">
      <c r="A74" t="s">
        <v>17</v>
      </c>
      <c r="B74" s="1">
        <v>41807</v>
      </c>
      <c r="C74" t="s">
        <v>100</v>
      </c>
      <c r="D74" t="str">
        <f>CONCATENATE("0040035689","")</f>
        <v>0040035689</v>
      </c>
      <c r="E74" t="str">
        <f>CONCATENATE("0020230001255       ","")</f>
        <v>0020230001255       </v>
      </c>
      <c r="F74" t="str">
        <f>CONCATENATE("606676835","")</f>
        <v>606676835</v>
      </c>
      <c r="G74" t="s">
        <v>141</v>
      </c>
      <c r="H74" t="s">
        <v>184</v>
      </c>
      <c r="I74" t="s">
        <v>185</v>
      </c>
      <c r="J74" t="str">
        <f>CONCATENATE("080207","")</f>
        <v>080207</v>
      </c>
      <c r="K74" t="s">
        <v>21</v>
      </c>
      <c r="L74" t="s">
        <v>22</v>
      </c>
      <c r="M74" t="str">
        <f t="shared" si="11"/>
        <v>1</v>
      </c>
      <c r="O74" t="str">
        <f>CONCATENATE("1 ","")</f>
        <v>1 </v>
      </c>
      <c r="P74">
        <v>11.35</v>
      </c>
      <c r="Q74" t="s">
        <v>23</v>
      </c>
    </row>
    <row r="75" spans="1:17" ht="15">
      <c r="A75" t="s">
        <v>17</v>
      </c>
      <c r="B75" s="1">
        <v>41807</v>
      </c>
      <c r="C75" t="s">
        <v>173</v>
      </c>
      <c r="D75" t="str">
        <f>CONCATENATE("0130000740","")</f>
        <v>0130000740</v>
      </c>
      <c r="E75" t="str">
        <f>CONCATENATE("0020230001290       ","")</f>
        <v>0020230001290       </v>
      </c>
      <c r="F75" t="str">
        <f>CONCATENATE("605347649","")</f>
        <v>605347649</v>
      </c>
      <c r="G75" t="s">
        <v>177</v>
      </c>
      <c r="H75" t="s">
        <v>186</v>
      </c>
      <c r="I75" t="s">
        <v>183</v>
      </c>
      <c r="J75" t="str">
        <f>CONCATENATE("080204","")</f>
        <v>080204</v>
      </c>
      <c r="K75" t="s">
        <v>21</v>
      </c>
      <c r="L75" t="s">
        <v>22</v>
      </c>
      <c r="M75" t="str">
        <f t="shared" si="11"/>
        <v>1</v>
      </c>
      <c r="O75" t="str">
        <f>CONCATENATE("2 ","")</f>
        <v>2 </v>
      </c>
      <c r="P75">
        <v>49.55</v>
      </c>
      <c r="Q75" t="s">
        <v>23</v>
      </c>
    </row>
    <row r="76" spans="1:17" ht="15">
      <c r="A76" t="s">
        <v>17</v>
      </c>
      <c r="B76" s="1">
        <v>41807</v>
      </c>
      <c r="C76" t="s">
        <v>173</v>
      </c>
      <c r="D76" t="str">
        <f>CONCATENATE("0130015132","")</f>
        <v>0130015132</v>
      </c>
      <c r="E76" t="str">
        <f>CONCATENATE("0020230001550       ","")</f>
        <v>0020230001550       </v>
      </c>
      <c r="F76" t="str">
        <f>CONCATENATE("1428284","")</f>
        <v>1428284</v>
      </c>
      <c r="G76" t="s">
        <v>177</v>
      </c>
      <c r="H76" t="s">
        <v>187</v>
      </c>
      <c r="I76" t="s">
        <v>188</v>
      </c>
      <c r="J76" t="str">
        <f>CONCATENATE("080204","")</f>
        <v>080204</v>
      </c>
      <c r="K76" t="s">
        <v>21</v>
      </c>
      <c r="L76" t="s">
        <v>22</v>
      </c>
      <c r="M76" t="str">
        <f t="shared" si="11"/>
        <v>1</v>
      </c>
      <c r="O76" t="str">
        <f>CONCATENATE("1 ","")</f>
        <v>1 </v>
      </c>
      <c r="P76">
        <v>51.5</v>
      </c>
      <c r="Q76" t="s">
        <v>23</v>
      </c>
    </row>
    <row r="77" spans="1:17" ht="15">
      <c r="A77" t="s">
        <v>17</v>
      </c>
      <c r="B77" s="1">
        <v>41807</v>
      </c>
      <c r="C77" t="s">
        <v>173</v>
      </c>
      <c r="D77" t="str">
        <f>CONCATENATE("0130007325","")</f>
        <v>0130007325</v>
      </c>
      <c r="E77" t="str">
        <f>CONCATENATE("0020235000095       ","")</f>
        <v>0020235000095       </v>
      </c>
      <c r="F77" t="str">
        <f>CONCATENATE("605391847","")</f>
        <v>605391847</v>
      </c>
      <c r="G77" t="s">
        <v>189</v>
      </c>
      <c r="H77" t="s">
        <v>190</v>
      </c>
      <c r="I77" t="s">
        <v>191</v>
      </c>
      <c r="J77" t="str">
        <f>CONCATENATE("080204","")</f>
        <v>080204</v>
      </c>
      <c r="K77" t="s">
        <v>21</v>
      </c>
      <c r="L77" t="s">
        <v>22</v>
      </c>
      <c r="M77" t="str">
        <f t="shared" si="11"/>
        <v>1</v>
      </c>
      <c r="O77" t="str">
        <f>CONCATENATE("3 ","")</f>
        <v>3 </v>
      </c>
      <c r="P77">
        <v>28.4</v>
      </c>
      <c r="Q77" t="s">
        <v>23</v>
      </c>
    </row>
    <row r="78" spans="1:17" ht="15">
      <c r="A78" t="s">
        <v>17</v>
      </c>
      <c r="B78" s="1">
        <v>41807</v>
      </c>
      <c r="C78" t="s">
        <v>35</v>
      </c>
      <c r="D78" t="str">
        <f>CONCATENATE("0130000767","")</f>
        <v>0130000767</v>
      </c>
      <c r="E78" t="str">
        <f>CONCATENATE("0020301000160       ","")</f>
        <v>0020301000160       </v>
      </c>
      <c r="F78" t="str">
        <f>CONCATENATE("605392020","")</f>
        <v>605392020</v>
      </c>
      <c r="G78" t="s">
        <v>192</v>
      </c>
      <c r="H78" t="s">
        <v>193</v>
      </c>
      <c r="I78" t="s">
        <v>194</v>
      </c>
      <c r="J78" t="str">
        <f aca="true" t="shared" si="12" ref="J78:J99">CONCATENATE("080203","")</f>
        <v>080203</v>
      </c>
      <c r="K78" t="s">
        <v>21</v>
      </c>
      <c r="L78" t="s">
        <v>22</v>
      </c>
      <c r="M78" t="str">
        <f t="shared" si="11"/>
        <v>1</v>
      </c>
      <c r="O78" t="str">
        <f>CONCATENATE("2 ","")</f>
        <v>2 </v>
      </c>
      <c r="P78">
        <v>17.9</v>
      </c>
      <c r="Q78" t="s">
        <v>23</v>
      </c>
    </row>
    <row r="79" spans="1:17" ht="15">
      <c r="A79" t="s">
        <v>17</v>
      </c>
      <c r="B79" s="1">
        <v>41807</v>
      </c>
      <c r="C79" t="s">
        <v>35</v>
      </c>
      <c r="D79" t="str">
        <f>CONCATENATE("0130000776","")</f>
        <v>0130000776</v>
      </c>
      <c r="E79" t="str">
        <f>CONCATENATE("0020301000340       ","")</f>
        <v>0020301000340       </v>
      </c>
      <c r="F79" t="str">
        <f>CONCATENATE("605392010","")</f>
        <v>605392010</v>
      </c>
      <c r="G79" t="s">
        <v>192</v>
      </c>
      <c r="H79" t="s">
        <v>195</v>
      </c>
      <c r="I79" t="s">
        <v>196</v>
      </c>
      <c r="J79" t="str">
        <f t="shared" si="12"/>
        <v>080203</v>
      </c>
      <c r="K79" t="s">
        <v>21</v>
      </c>
      <c r="L79" t="s">
        <v>22</v>
      </c>
      <c r="M79" t="str">
        <f t="shared" si="11"/>
        <v>1</v>
      </c>
      <c r="O79" t="str">
        <f aca="true" t="shared" si="13" ref="O79:O96">CONCATENATE("1 ","")</f>
        <v>1 </v>
      </c>
      <c r="P79">
        <v>17.7</v>
      </c>
      <c r="Q79" t="s">
        <v>23</v>
      </c>
    </row>
    <row r="80" spans="1:17" ht="15">
      <c r="A80" t="s">
        <v>17</v>
      </c>
      <c r="B80" s="1">
        <v>41807</v>
      </c>
      <c r="C80" t="s">
        <v>35</v>
      </c>
      <c r="D80" t="str">
        <f>CONCATENATE("0130011503","")</f>
        <v>0130011503</v>
      </c>
      <c r="E80" t="str">
        <f>CONCATENATE("0020301000740       ","")</f>
        <v>0020301000740       </v>
      </c>
      <c r="F80" t="str">
        <f>CONCATENATE("1605369","")</f>
        <v>1605369</v>
      </c>
      <c r="G80" t="s">
        <v>192</v>
      </c>
      <c r="H80" t="s">
        <v>197</v>
      </c>
      <c r="I80" t="s">
        <v>198</v>
      </c>
      <c r="J80" t="str">
        <f t="shared" si="12"/>
        <v>080203</v>
      </c>
      <c r="K80" t="s">
        <v>21</v>
      </c>
      <c r="L80" t="s">
        <v>22</v>
      </c>
      <c r="M80" t="str">
        <f t="shared" si="11"/>
        <v>1</v>
      </c>
      <c r="O80" t="str">
        <f t="shared" si="13"/>
        <v>1 </v>
      </c>
      <c r="P80">
        <v>11.8</v>
      </c>
      <c r="Q80" t="s">
        <v>23</v>
      </c>
    </row>
    <row r="81" spans="1:17" ht="15">
      <c r="A81" t="s">
        <v>17</v>
      </c>
      <c r="B81" s="1">
        <v>41807</v>
      </c>
      <c r="C81" t="s">
        <v>35</v>
      </c>
      <c r="D81" t="str">
        <f>CONCATENATE("0130000794","")</f>
        <v>0130000794</v>
      </c>
      <c r="E81" t="str">
        <f>CONCATENATE("0020301000800       ","")</f>
        <v>0020301000800       </v>
      </c>
      <c r="F81" t="str">
        <f>CONCATENATE("605082567","")</f>
        <v>605082567</v>
      </c>
      <c r="G81" t="s">
        <v>192</v>
      </c>
      <c r="H81" t="s">
        <v>199</v>
      </c>
      <c r="I81" t="s">
        <v>200</v>
      </c>
      <c r="J81" t="str">
        <f t="shared" si="12"/>
        <v>080203</v>
      </c>
      <c r="K81" t="s">
        <v>21</v>
      </c>
      <c r="L81" t="s">
        <v>22</v>
      </c>
      <c r="M81" t="str">
        <f t="shared" si="11"/>
        <v>1</v>
      </c>
      <c r="O81" t="str">
        <f t="shared" si="13"/>
        <v>1 </v>
      </c>
      <c r="P81">
        <v>32.1</v>
      </c>
      <c r="Q81" t="s">
        <v>23</v>
      </c>
    </row>
    <row r="82" spans="1:17" ht="15">
      <c r="A82" t="s">
        <v>17</v>
      </c>
      <c r="B82" s="1">
        <v>41807</v>
      </c>
      <c r="C82" t="s">
        <v>35</v>
      </c>
      <c r="D82" t="str">
        <f>CONCATENATE("0130000796","")</f>
        <v>0130000796</v>
      </c>
      <c r="E82" t="str">
        <f>CONCATENATE("0020301000845       ","")</f>
        <v>0020301000845       </v>
      </c>
      <c r="F82" t="str">
        <f>CONCATENATE("605120268","")</f>
        <v>605120268</v>
      </c>
      <c r="G82" t="s">
        <v>192</v>
      </c>
      <c r="H82" t="s">
        <v>201</v>
      </c>
      <c r="I82" t="s">
        <v>202</v>
      </c>
      <c r="J82" t="str">
        <f t="shared" si="12"/>
        <v>080203</v>
      </c>
      <c r="K82" t="s">
        <v>21</v>
      </c>
      <c r="L82" t="s">
        <v>22</v>
      </c>
      <c r="M82" t="str">
        <f t="shared" si="11"/>
        <v>1</v>
      </c>
      <c r="O82" t="str">
        <f t="shared" si="13"/>
        <v>1 </v>
      </c>
      <c r="P82">
        <v>18.05</v>
      </c>
      <c r="Q82" t="s">
        <v>23</v>
      </c>
    </row>
    <row r="83" spans="1:17" ht="15">
      <c r="A83" t="s">
        <v>17</v>
      </c>
      <c r="B83" s="1">
        <v>41807</v>
      </c>
      <c r="C83" t="s">
        <v>35</v>
      </c>
      <c r="D83" t="str">
        <f>CONCATENATE("0130008386","")</f>
        <v>0130008386</v>
      </c>
      <c r="E83" t="str">
        <f>CONCATENATE("0020301000855       ","")</f>
        <v>0020301000855       </v>
      </c>
      <c r="F83" t="str">
        <f>CONCATENATE("605349405","")</f>
        <v>605349405</v>
      </c>
      <c r="G83" t="s">
        <v>192</v>
      </c>
      <c r="H83" t="s">
        <v>203</v>
      </c>
      <c r="I83" t="s">
        <v>204</v>
      </c>
      <c r="J83" t="str">
        <f t="shared" si="12"/>
        <v>080203</v>
      </c>
      <c r="K83" t="s">
        <v>21</v>
      </c>
      <c r="L83" t="s">
        <v>22</v>
      </c>
      <c r="M83" t="str">
        <f t="shared" si="11"/>
        <v>1</v>
      </c>
      <c r="O83" t="str">
        <f t="shared" si="13"/>
        <v>1 </v>
      </c>
      <c r="P83">
        <v>13.35</v>
      </c>
      <c r="Q83" t="s">
        <v>23</v>
      </c>
    </row>
    <row r="84" spans="1:17" ht="15">
      <c r="A84" t="s">
        <v>17</v>
      </c>
      <c r="B84" s="1">
        <v>41807</v>
      </c>
      <c r="C84" t="s">
        <v>35</v>
      </c>
      <c r="D84" t="str">
        <f>CONCATENATE("0130000798","")</f>
        <v>0130000798</v>
      </c>
      <c r="E84" t="str">
        <f>CONCATENATE("0020301000870       ","")</f>
        <v>0020301000870       </v>
      </c>
      <c r="F84" t="str">
        <f>CONCATENATE("605390450","")</f>
        <v>605390450</v>
      </c>
      <c r="G84" t="s">
        <v>192</v>
      </c>
      <c r="H84" t="s">
        <v>205</v>
      </c>
      <c r="I84" t="s">
        <v>206</v>
      </c>
      <c r="J84" t="str">
        <f t="shared" si="12"/>
        <v>080203</v>
      </c>
      <c r="K84" t="s">
        <v>21</v>
      </c>
      <c r="L84" t="s">
        <v>22</v>
      </c>
      <c r="M84" t="str">
        <f t="shared" si="11"/>
        <v>1</v>
      </c>
      <c r="O84" t="str">
        <f t="shared" si="13"/>
        <v>1 </v>
      </c>
      <c r="P84">
        <v>46.45</v>
      </c>
      <c r="Q84" t="s">
        <v>23</v>
      </c>
    </row>
    <row r="85" spans="1:17" ht="15">
      <c r="A85" t="s">
        <v>17</v>
      </c>
      <c r="B85" s="1">
        <v>41807</v>
      </c>
      <c r="C85" t="s">
        <v>35</v>
      </c>
      <c r="D85" t="str">
        <f>CONCATENATE("0130000799","")</f>
        <v>0130000799</v>
      </c>
      <c r="E85" t="str">
        <f>CONCATENATE("0020301000880       ","")</f>
        <v>0020301000880       </v>
      </c>
      <c r="F85" t="str">
        <f>CONCATENATE("605392021","")</f>
        <v>605392021</v>
      </c>
      <c r="G85" t="s">
        <v>192</v>
      </c>
      <c r="H85" t="s">
        <v>207</v>
      </c>
      <c r="I85" t="s">
        <v>208</v>
      </c>
      <c r="J85" t="str">
        <f t="shared" si="12"/>
        <v>080203</v>
      </c>
      <c r="K85" t="s">
        <v>21</v>
      </c>
      <c r="L85" t="s">
        <v>22</v>
      </c>
      <c r="M85" t="str">
        <f t="shared" si="11"/>
        <v>1</v>
      </c>
      <c r="O85" t="str">
        <f t="shared" si="13"/>
        <v>1 </v>
      </c>
      <c r="P85">
        <v>20.2</v>
      </c>
      <c r="Q85" t="s">
        <v>23</v>
      </c>
    </row>
    <row r="86" spans="1:17" ht="15">
      <c r="A86" t="s">
        <v>17</v>
      </c>
      <c r="B86" s="1">
        <v>41807</v>
      </c>
      <c r="C86" t="s">
        <v>35</v>
      </c>
      <c r="D86" t="str">
        <f>CONCATENATE("0130000803","")</f>
        <v>0130000803</v>
      </c>
      <c r="E86" t="str">
        <f>CONCATENATE("0020301000920       ","")</f>
        <v>0020301000920       </v>
      </c>
      <c r="F86" t="str">
        <f>CONCATENATE("605392034","")</f>
        <v>605392034</v>
      </c>
      <c r="G86" t="s">
        <v>192</v>
      </c>
      <c r="H86" t="s">
        <v>209</v>
      </c>
      <c r="I86" t="s">
        <v>210</v>
      </c>
      <c r="J86" t="str">
        <f t="shared" si="12"/>
        <v>080203</v>
      </c>
      <c r="K86" t="s">
        <v>21</v>
      </c>
      <c r="L86" t="s">
        <v>22</v>
      </c>
      <c r="M86" t="str">
        <f t="shared" si="11"/>
        <v>1</v>
      </c>
      <c r="O86" t="str">
        <f t="shared" si="13"/>
        <v>1 </v>
      </c>
      <c r="P86">
        <v>11.4</v>
      </c>
      <c r="Q86" t="s">
        <v>23</v>
      </c>
    </row>
    <row r="87" spans="1:17" ht="15">
      <c r="A87" t="s">
        <v>17</v>
      </c>
      <c r="B87" s="1">
        <v>41807</v>
      </c>
      <c r="C87" t="s">
        <v>35</v>
      </c>
      <c r="D87" t="str">
        <f>CONCATENATE("0130014975","")</f>
        <v>0130014975</v>
      </c>
      <c r="E87" t="str">
        <f>CONCATENATE("0020301000983       ","")</f>
        <v>0020301000983       </v>
      </c>
      <c r="F87" t="str">
        <f>CONCATENATE("605120144","")</f>
        <v>605120144</v>
      </c>
      <c r="G87" t="s">
        <v>192</v>
      </c>
      <c r="H87" t="s">
        <v>211</v>
      </c>
      <c r="I87" t="s">
        <v>212</v>
      </c>
      <c r="J87" t="str">
        <f t="shared" si="12"/>
        <v>080203</v>
      </c>
      <c r="K87" t="s">
        <v>21</v>
      </c>
      <c r="L87" t="s">
        <v>22</v>
      </c>
      <c r="M87" t="str">
        <f t="shared" si="11"/>
        <v>1</v>
      </c>
      <c r="O87" t="str">
        <f t="shared" si="13"/>
        <v>1 </v>
      </c>
      <c r="P87">
        <v>20.85</v>
      </c>
      <c r="Q87" t="s">
        <v>23</v>
      </c>
    </row>
    <row r="88" spans="1:17" ht="15">
      <c r="A88" t="s">
        <v>17</v>
      </c>
      <c r="B88" s="1">
        <v>41807</v>
      </c>
      <c r="C88" t="s">
        <v>35</v>
      </c>
      <c r="D88" t="str">
        <f>CONCATENATE("0130000806","")</f>
        <v>0130000806</v>
      </c>
      <c r="E88" t="str">
        <f>CONCATENATE("0020301001010       ","")</f>
        <v>0020301001010       </v>
      </c>
      <c r="F88" t="str">
        <f>CONCATENATE("605393738","")</f>
        <v>605393738</v>
      </c>
      <c r="G88" t="s">
        <v>192</v>
      </c>
      <c r="H88" t="s">
        <v>213</v>
      </c>
      <c r="I88" t="s">
        <v>206</v>
      </c>
      <c r="J88" t="str">
        <f t="shared" si="12"/>
        <v>080203</v>
      </c>
      <c r="K88" t="s">
        <v>21</v>
      </c>
      <c r="L88" t="s">
        <v>22</v>
      </c>
      <c r="M88" t="str">
        <f t="shared" si="11"/>
        <v>1</v>
      </c>
      <c r="O88" t="str">
        <f t="shared" si="13"/>
        <v>1 </v>
      </c>
      <c r="P88">
        <v>18</v>
      </c>
      <c r="Q88" t="s">
        <v>23</v>
      </c>
    </row>
    <row r="89" spans="1:17" ht="15">
      <c r="A89" t="s">
        <v>17</v>
      </c>
      <c r="B89" s="1">
        <v>41807</v>
      </c>
      <c r="C89" t="s">
        <v>35</v>
      </c>
      <c r="D89" t="str">
        <f>CONCATENATE("0130000815","")</f>
        <v>0130000815</v>
      </c>
      <c r="E89" t="str">
        <f>CONCATENATE("0020301001340       ","")</f>
        <v>0020301001340       </v>
      </c>
      <c r="F89" t="str">
        <f>CONCATENATE("605349396","")</f>
        <v>605349396</v>
      </c>
      <c r="G89" t="s">
        <v>192</v>
      </c>
      <c r="H89" t="s">
        <v>214</v>
      </c>
      <c r="I89" t="s">
        <v>215</v>
      </c>
      <c r="J89" t="str">
        <f t="shared" si="12"/>
        <v>080203</v>
      </c>
      <c r="K89" t="s">
        <v>21</v>
      </c>
      <c r="L89" t="s">
        <v>22</v>
      </c>
      <c r="M89" t="str">
        <f t="shared" si="11"/>
        <v>1</v>
      </c>
      <c r="O89" t="str">
        <f t="shared" si="13"/>
        <v>1 </v>
      </c>
      <c r="P89">
        <v>17.75</v>
      </c>
      <c r="Q89" t="s">
        <v>23</v>
      </c>
    </row>
    <row r="90" spans="1:17" ht="15">
      <c r="A90" t="s">
        <v>17</v>
      </c>
      <c r="B90" s="1">
        <v>41807</v>
      </c>
      <c r="C90" t="s">
        <v>35</v>
      </c>
      <c r="D90" t="str">
        <f>CONCATENATE("0130021479","")</f>
        <v>0130021479</v>
      </c>
      <c r="E90" t="str">
        <f>CONCATENATE("0020301001555       ","")</f>
        <v>0020301001555       </v>
      </c>
      <c r="F90" t="str">
        <f>CONCATENATE("1930569","")</f>
        <v>1930569</v>
      </c>
      <c r="G90" t="s">
        <v>192</v>
      </c>
      <c r="H90" t="s">
        <v>216</v>
      </c>
      <c r="I90" t="s">
        <v>217</v>
      </c>
      <c r="J90" t="str">
        <f t="shared" si="12"/>
        <v>080203</v>
      </c>
      <c r="K90" t="s">
        <v>21</v>
      </c>
      <c r="L90" t="s">
        <v>22</v>
      </c>
      <c r="M90" t="str">
        <f t="shared" si="11"/>
        <v>1</v>
      </c>
      <c r="O90" t="str">
        <f t="shared" si="13"/>
        <v>1 </v>
      </c>
      <c r="P90">
        <v>11.35</v>
      </c>
      <c r="Q90" t="s">
        <v>23</v>
      </c>
    </row>
    <row r="91" spans="1:17" ht="15">
      <c r="A91" t="s">
        <v>17</v>
      </c>
      <c r="B91" s="1">
        <v>41807</v>
      </c>
      <c r="C91" t="s">
        <v>35</v>
      </c>
      <c r="D91" t="str">
        <f>CONCATENATE("0130000836","")</f>
        <v>0130000836</v>
      </c>
      <c r="E91" t="str">
        <f>CONCATENATE("0020301001970       ","")</f>
        <v>0020301001970       </v>
      </c>
      <c r="F91" t="str">
        <f>CONCATENATE("2186893","")</f>
        <v>2186893</v>
      </c>
      <c r="G91" t="s">
        <v>192</v>
      </c>
      <c r="H91" t="s">
        <v>218</v>
      </c>
      <c r="I91" t="s">
        <v>219</v>
      </c>
      <c r="J91" t="str">
        <f t="shared" si="12"/>
        <v>080203</v>
      </c>
      <c r="K91" t="s">
        <v>21</v>
      </c>
      <c r="L91" t="s">
        <v>22</v>
      </c>
      <c r="M91" t="str">
        <f t="shared" si="11"/>
        <v>1</v>
      </c>
      <c r="O91" t="str">
        <f t="shared" si="13"/>
        <v>1 </v>
      </c>
      <c r="P91">
        <v>11.45</v>
      </c>
      <c r="Q91" t="s">
        <v>23</v>
      </c>
    </row>
    <row r="92" spans="1:17" ht="15">
      <c r="A92" t="s">
        <v>17</v>
      </c>
      <c r="B92" s="1">
        <v>41807</v>
      </c>
      <c r="C92" t="s">
        <v>35</v>
      </c>
      <c r="D92" t="str">
        <f>CONCATENATE("0130014948","")</f>
        <v>0130014948</v>
      </c>
      <c r="E92" t="str">
        <f>CONCATENATE("0020302000040       ","")</f>
        <v>0020302000040       </v>
      </c>
      <c r="F92" t="str">
        <f>CONCATENATE("1076457","")</f>
        <v>1076457</v>
      </c>
      <c r="G92" t="s">
        <v>192</v>
      </c>
      <c r="H92" t="s">
        <v>220</v>
      </c>
      <c r="I92" t="s">
        <v>221</v>
      </c>
      <c r="J92" t="str">
        <f t="shared" si="12"/>
        <v>080203</v>
      </c>
      <c r="K92" t="s">
        <v>21</v>
      </c>
      <c r="L92" t="s">
        <v>22</v>
      </c>
      <c r="M92" t="str">
        <f t="shared" si="11"/>
        <v>1</v>
      </c>
      <c r="O92" t="str">
        <f t="shared" si="13"/>
        <v>1 </v>
      </c>
      <c r="P92">
        <v>58.95</v>
      </c>
      <c r="Q92" t="s">
        <v>23</v>
      </c>
    </row>
    <row r="93" spans="1:17" ht="15">
      <c r="A93" t="s">
        <v>17</v>
      </c>
      <c r="B93" s="1">
        <v>41807</v>
      </c>
      <c r="C93" t="s">
        <v>35</v>
      </c>
      <c r="D93" t="str">
        <f>CONCATENATE("0130000851","")</f>
        <v>0130000851</v>
      </c>
      <c r="E93" t="str">
        <f>CONCATENATE("0020302000210       ","")</f>
        <v>0020302000210       </v>
      </c>
      <c r="F93" t="str">
        <f>CONCATENATE("605393723","")</f>
        <v>605393723</v>
      </c>
      <c r="G93" t="s">
        <v>192</v>
      </c>
      <c r="H93" t="s">
        <v>222</v>
      </c>
      <c r="I93" t="s">
        <v>223</v>
      </c>
      <c r="J93" t="str">
        <f t="shared" si="12"/>
        <v>080203</v>
      </c>
      <c r="K93" t="s">
        <v>21</v>
      </c>
      <c r="L93" t="s">
        <v>22</v>
      </c>
      <c r="M93" t="str">
        <f t="shared" si="11"/>
        <v>1</v>
      </c>
      <c r="O93" t="str">
        <f t="shared" si="13"/>
        <v>1 </v>
      </c>
      <c r="P93">
        <v>13.75</v>
      </c>
      <c r="Q93" t="s">
        <v>23</v>
      </c>
    </row>
    <row r="94" spans="1:17" ht="15">
      <c r="A94" t="s">
        <v>17</v>
      </c>
      <c r="B94" s="1">
        <v>41807</v>
      </c>
      <c r="C94" t="s">
        <v>35</v>
      </c>
      <c r="D94" t="str">
        <f>CONCATENATE("0130008388","")</f>
        <v>0130008388</v>
      </c>
      <c r="E94" t="str">
        <f>CONCATENATE("0020302000305       ","")</f>
        <v>0020302000305       </v>
      </c>
      <c r="F94" t="str">
        <f>CONCATENATE("605349385","")</f>
        <v>605349385</v>
      </c>
      <c r="G94" t="s">
        <v>192</v>
      </c>
      <c r="H94" t="s">
        <v>224</v>
      </c>
      <c r="I94" t="s">
        <v>225</v>
      </c>
      <c r="J94" t="str">
        <f t="shared" si="12"/>
        <v>080203</v>
      </c>
      <c r="K94" t="s">
        <v>21</v>
      </c>
      <c r="L94" t="s">
        <v>22</v>
      </c>
      <c r="M94" t="str">
        <f t="shared" si="11"/>
        <v>1</v>
      </c>
      <c r="O94" t="str">
        <f t="shared" si="13"/>
        <v>1 </v>
      </c>
      <c r="P94">
        <v>18.05</v>
      </c>
      <c r="Q94" t="s">
        <v>23</v>
      </c>
    </row>
    <row r="95" spans="1:17" ht="15">
      <c r="A95" t="s">
        <v>17</v>
      </c>
      <c r="B95" s="1">
        <v>41807</v>
      </c>
      <c r="C95" t="s">
        <v>35</v>
      </c>
      <c r="D95" t="str">
        <f>CONCATENATE("0130008390","")</f>
        <v>0130008390</v>
      </c>
      <c r="E95" t="str">
        <f>CONCATENATE("0020302001155       ","")</f>
        <v>0020302001155       </v>
      </c>
      <c r="F95" t="str">
        <f>CONCATENATE("605350547","")</f>
        <v>605350547</v>
      </c>
      <c r="G95" t="s">
        <v>192</v>
      </c>
      <c r="H95" t="s">
        <v>226</v>
      </c>
      <c r="I95" t="s">
        <v>227</v>
      </c>
      <c r="J95" t="str">
        <f t="shared" si="12"/>
        <v>080203</v>
      </c>
      <c r="K95" t="s">
        <v>21</v>
      </c>
      <c r="L95" t="s">
        <v>22</v>
      </c>
      <c r="M95" t="str">
        <f t="shared" si="11"/>
        <v>1</v>
      </c>
      <c r="O95" t="str">
        <f t="shared" si="13"/>
        <v>1 </v>
      </c>
      <c r="P95">
        <v>52.85</v>
      </c>
      <c r="Q95" t="s">
        <v>23</v>
      </c>
    </row>
    <row r="96" spans="1:17" ht="15">
      <c r="A96" t="s">
        <v>17</v>
      </c>
      <c r="B96" s="1">
        <v>41807</v>
      </c>
      <c r="C96" t="s">
        <v>35</v>
      </c>
      <c r="D96" t="str">
        <f>CONCATENATE("0130013137","")</f>
        <v>0130013137</v>
      </c>
      <c r="E96" t="str">
        <f>CONCATENATE("0020302001345       ","")</f>
        <v>0020302001345       </v>
      </c>
      <c r="F96" t="str">
        <f>CONCATENATE("606603204","")</f>
        <v>606603204</v>
      </c>
      <c r="G96" t="s">
        <v>192</v>
      </c>
      <c r="H96" t="s">
        <v>228</v>
      </c>
      <c r="I96" t="s">
        <v>229</v>
      </c>
      <c r="J96" t="str">
        <f t="shared" si="12"/>
        <v>080203</v>
      </c>
      <c r="K96" t="s">
        <v>21</v>
      </c>
      <c r="L96" t="s">
        <v>22</v>
      </c>
      <c r="M96" t="str">
        <f t="shared" si="11"/>
        <v>1</v>
      </c>
      <c r="O96" t="str">
        <f t="shared" si="13"/>
        <v>1 </v>
      </c>
      <c r="P96">
        <v>14.1</v>
      </c>
      <c r="Q96" t="s">
        <v>23</v>
      </c>
    </row>
    <row r="97" spans="1:17" ht="15">
      <c r="A97" t="s">
        <v>17</v>
      </c>
      <c r="B97" s="1">
        <v>41807</v>
      </c>
      <c r="C97" t="s">
        <v>35</v>
      </c>
      <c r="D97" t="str">
        <f>CONCATENATE("0040031253","")</f>
        <v>0040031253</v>
      </c>
      <c r="E97" t="str">
        <f>CONCATENATE("0020302001352       ","")</f>
        <v>0020302001352       </v>
      </c>
      <c r="F97" t="str">
        <f>CONCATENATE("606603173","")</f>
        <v>606603173</v>
      </c>
      <c r="G97" t="s">
        <v>192</v>
      </c>
      <c r="H97" t="s">
        <v>230</v>
      </c>
      <c r="I97" t="s">
        <v>231</v>
      </c>
      <c r="J97" t="str">
        <f t="shared" si="12"/>
        <v>080203</v>
      </c>
      <c r="K97" t="s">
        <v>21</v>
      </c>
      <c r="L97" t="s">
        <v>22</v>
      </c>
      <c r="M97" t="str">
        <f t="shared" si="11"/>
        <v>1</v>
      </c>
      <c r="O97" t="str">
        <f>CONCATENATE("2 ","")</f>
        <v>2 </v>
      </c>
      <c r="P97">
        <v>17.15</v>
      </c>
      <c r="Q97" t="s">
        <v>23</v>
      </c>
    </row>
    <row r="98" spans="1:17" ht="15">
      <c r="A98" t="s">
        <v>17</v>
      </c>
      <c r="B98" s="1">
        <v>41807</v>
      </c>
      <c r="C98" t="s">
        <v>35</v>
      </c>
      <c r="D98" t="str">
        <f>CONCATENATE("0130000915","")</f>
        <v>0130000915</v>
      </c>
      <c r="E98" t="str">
        <f>CONCATENATE("0020302001430       ","")</f>
        <v>0020302001430       </v>
      </c>
      <c r="F98" t="str">
        <f>CONCATENATE("605390456","")</f>
        <v>605390456</v>
      </c>
      <c r="G98" t="s">
        <v>192</v>
      </c>
      <c r="H98" t="s">
        <v>232</v>
      </c>
      <c r="I98" t="s">
        <v>233</v>
      </c>
      <c r="J98" t="str">
        <f t="shared" si="12"/>
        <v>080203</v>
      </c>
      <c r="K98" t="s">
        <v>21</v>
      </c>
      <c r="L98" t="s">
        <v>22</v>
      </c>
      <c r="M98" t="str">
        <f t="shared" si="11"/>
        <v>1</v>
      </c>
      <c r="O98" t="str">
        <f>CONCATENATE("1 ","")</f>
        <v>1 </v>
      </c>
      <c r="P98">
        <v>17.65</v>
      </c>
      <c r="Q98" t="s">
        <v>23</v>
      </c>
    </row>
    <row r="99" spans="1:17" ht="15">
      <c r="A99" t="s">
        <v>17</v>
      </c>
      <c r="B99" s="1">
        <v>41807</v>
      </c>
      <c r="C99" t="s">
        <v>35</v>
      </c>
      <c r="D99" t="str">
        <f>CONCATENATE("0130014971","")</f>
        <v>0130014971</v>
      </c>
      <c r="E99" t="str">
        <f>CONCATENATE("0020302001463       ","")</f>
        <v>0020302001463       </v>
      </c>
      <c r="F99" t="str">
        <f>CONCATENATE("605120277","")</f>
        <v>605120277</v>
      </c>
      <c r="G99" t="s">
        <v>192</v>
      </c>
      <c r="H99" t="s">
        <v>234</v>
      </c>
      <c r="I99" t="s">
        <v>235</v>
      </c>
      <c r="J99" t="str">
        <f t="shared" si="12"/>
        <v>080203</v>
      </c>
      <c r="K99" t="s">
        <v>21</v>
      </c>
      <c r="L99" t="s">
        <v>22</v>
      </c>
      <c r="M99" t="str">
        <f t="shared" si="11"/>
        <v>1</v>
      </c>
      <c r="O99" t="str">
        <f>CONCATENATE("1 ","")</f>
        <v>1 </v>
      </c>
      <c r="P99">
        <v>12.55</v>
      </c>
      <c r="Q99" t="s">
        <v>23</v>
      </c>
    </row>
    <row r="100" spans="1:17" ht="15">
      <c r="A100" t="s">
        <v>17</v>
      </c>
      <c r="B100" s="1">
        <v>41807</v>
      </c>
      <c r="C100" t="s">
        <v>18</v>
      </c>
      <c r="D100" t="str">
        <f>CONCATENATE("0130000930","")</f>
        <v>0130000930</v>
      </c>
      <c r="E100" t="str">
        <f>CONCATENATE("0020305000080       ","")</f>
        <v>0020305000080       </v>
      </c>
      <c r="F100" t="str">
        <f>CONCATENATE("605627736","")</f>
        <v>605627736</v>
      </c>
      <c r="G100" t="s">
        <v>236</v>
      </c>
      <c r="H100" t="s">
        <v>237</v>
      </c>
      <c r="I100" t="s">
        <v>238</v>
      </c>
      <c r="J100" t="str">
        <f>CONCATENATE("080201","")</f>
        <v>080201</v>
      </c>
      <c r="K100" t="s">
        <v>21</v>
      </c>
      <c r="L100" t="s">
        <v>22</v>
      </c>
      <c r="M100" t="str">
        <f t="shared" si="11"/>
        <v>1</v>
      </c>
      <c r="O100" t="str">
        <f>CONCATENATE("1 ","")</f>
        <v>1 </v>
      </c>
      <c r="P100">
        <v>13.6</v>
      </c>
      <c r="Q100" t="s">
        <v>23</v>
      </c>
    </row>
    <row r="101" spans="1:17" ht="15">
      <c r="A101" t="s">
        <v>17</v>
      </c>
      <c r="B101" s="1">
        <v>41807</v>
      </c>
      <c r="C101" t="s">
        <v>18</v>
      </c>
      <c r="D101" t="str">
        <f>CONCATENATE("0130000939","")</f>
        <v>0130000939</v>
      </c>
      <c r="E101" t="str">
        <f>CONCATENATE("0020305000170       ","")</f>
        <v>0020305000170       </v>
      </c>
      <c r="F101" t="str">
        <f>CONCATENATE("605349709","")</f>
        <v>605349709</v>
      </c>
      <c r="G101" t="s">
        <v>236</v>
      </c>
      <c r="H101" t="s">
        <v>239</v>
      </c>
      <c r="I101" t="s">
        <v>238</v>
      </c>
      <c r="J101" t="str">
        <f>CONCATENATE("080201","")</f>
        <v>080201</v>
      </c>
      <c r="K101" t="s">
        <v>21</v>
      </c>
      <c r="L101" t="s">
        <v>22</v>
      </c>
      <c r="M101" t="str">
        <f t="shared" si="11"/>
        <v>1</v>
      </c>
      <c r="O101" t="str">
        <f>CONCATENATE("1 ","")</f>
        <v>1 </v>
      </c>
      <c r="P101">
        <v>23.55</v>
      </c>
      <c r="Q101" t="s">
        <v>23</v>
      </c>
    </row>
    <row r="102" spans="1:17" ht="15">
      <c r="A102" t="s">
        <v>17</v>
      </c>
      <c r="B102" s="1">
        <v>41807</v>
      </c>
      <c r="C102" t="s">
        <v>35</v>
      </c>
      <c r="D102" t="str">
        <f>CONCATENATE("0130000945","")</f>
        <v>0130000945</v>
      </c>
      <c r="E102" t="str">
        <f>CONCATENATE("0020305000240       ","")</f>
        <v>0020305000240       </v>
      </c>
      <c r="F102" t="str">
        <f>CONCATENATE("605349710","")</f>
        <v>605349710</v>
      </c>
      <c r="G102" t="s">
        <v>236</v>
      </c>
      <c r="H102" t="s">
        <v>240</v>
      </c>
      <c r="I102" t="s">
        <v>238</v>
      </c>
      <c r="J102" t="str">
        <f aca="true" t="shared" si="14" ref="J102:J113">CONCATENATE("080203","")</f>
        <v>080203</v>
      </c>
      <c r="K102" t="s">
        <v>21</v>
      </c>
      <c r="L102" t="s">
        <v>22</v>
      </c>
      <c r="M102" t="str">
        <f t="shared" si="11"/>
        <v>1</v>
      </c>
      <c r="O102" t="str">
        <f>CONCATENATE("2 ","")</f>
        <v>2 </v>
      </c>
      <c r="P102">
        <v>15.85</v>
      </c>
      <c r="Q102" t="s">
        <v>23</v>
      </c>
    </row>
    <row r="103" spans="1:17" ht="15">
      <c r="A103" t="s">
        <v>17</v>
      </c>
      <c r="B103" s="1">
        <v>41807</v>
      </c>
      <c r="C103" t="s">
        <v>35</v>
      </c>
      <c r="D103" t="str">
        <f>CONCATENATE("0130010670","")</f>
        <v>0130010670</v>
      </c>
      <c r="E103" t="str">
        <f>CONCATENATE("0020307000085       ","")</f>
        <v>0020307000085       </v>
      </c>
      <c r="F103" t="str">
        <f>CONCATENATE("605740694","")</f>
        <v>605740694</v>
      </c>
      <c r="G103" t="s">
        <v>241</v>
      </c>
      <c r="H103" t="s">
        <v>242</v>
      </c>
      <c r="I103" t="s">
        <v>243</v>
      </c>
      <c r="J103" t="str">
        <f t="shared" si="14"/>
        <v>080203</v>
      </c>
      <c r="K103" t="s">
        <v>21</v>
      </c>
      <c r="L103" t="s">
        <v>22</v>
      </c>
      <c r="M103" t="str">
        <f t="shared" si="11"/>
        <v>1</v>
      </c>
      <c r="O103" t="str">
        <f>CONCATENATE("1 ","")</f>
        <v>1 </v>
      </c>
      <c r="P103">
        <v>20.5</v>
      </c>
      <c r="Q103" t="s">
        <v>23</v>
      </c>
    </row>
    <row r="104" spans="1:17" ht="15">
      <c r="A104" t="s">
        <v>17</v>
      </c>
      <c r="B104" s="1">
        <v>41807</v>
      </c>
      <c r="C104" t="s">
        <v>35</v>
      </c>
      <c r="D104" t="str">
        <f>CONCATENATE("0130010135","")</f>
        <v>0130010135</v>
      </c>
      <c r="E104" t="str">
        <f>CONCATENATE("0020307000155       ","")</f>
        <v>0020307000155       </v>
      </c>
      <c r="F104" t="str">
        <f>CONCATENATE("605391459","")</f>
        <v>605391459</v>
      </c>
      <c r="G104" t="s">
        <v>241</v>
      </c>
      <c r="H104" t="s">
        <v>244</v>
      </c>
      <c r="I104" t="s">
        <v>245</v>
      </c>
      <c r="J104" t="str">
        <f t="shared" si="14"/>
        <v>080203</v>
      </c>
      <c r="K104" t="s">
        <v>21</v>
      </c>
      <c r="L104" t="s">
        <v>22</v>
      </c>
      <c r="M104" t="str">
        <f>CONCATENATE("2","")</f>
        <v>2</v>
      </c>
      <c r="O104" t="str">
        <f>CONCATENATE("1 ","")</f>
        <v>1 </v>
      </c>
      <c r="P104">
        <v>14.65</v>
      </c>
      <c r="Q104" t="s">
        <v>23</v>
      </c>
    </row>
    <row r="105" spans="1:17" ht="15">
      <c r="A105" t="s">
        <v>17</v>
      </c>
      <c r="B105" s="1">
        <v>41807</v>
      </c>
      <c r="C105" t="s">
        <v>35</v>
      </c>
      <c r="D105" t="str">
        <f>CONCATENATE("0130010121","")</f>
        <v>0130010121</v>
      </c>
      <c r="E105" t="str">
        <f>CONCATENATE("0020307000200       ","")</f>
        <v>0020307000200       </v>
      </c>
      <c r="F105" t="str">
        <f>CONCATENATE("605391454","")</f>
        <v>605391454</v>
      </c>
      <c r="G105" t="s">
        <v>241</v>
      </c>
      <c r="H105" t="s">
        <v>246</v>
      </c>
      <c r="I105" t="s">
        <v>245</v>
      </c>
      <c r="J105" t="str">
        <f t="shared" si="14"/>
        <v>080203</v>
      </c>
      <c r="K105" t="s">
        <v>21</v>
      </c>
      <c r="L105" t="s">
        <v>22</v>
      </c>
      <c r="M105" t="str">
        <f aca="true" t="shared" si="15" ref="M105:M140">CONCATENATE("1","")</f>
        <v>1</v>
      </c>
      <c r="O105" t="str">
        <f>CONCATENATE("2 ","")</f>
        <v>2 </v>
      </c>
      <c r="P105">
        <v>22.6</v>
      </c>
      <c r="Q105" t="s">
        <v>23</v>
      </c>
    </row>
    <row r="106" spans="1:17" ht="15">
      <c r="A106" t="s">
        <v>17</v>
      </c>
      <c r="B106" s="1">
        <v>41807</v>
      </c>
      <c r="C106" t="s">
        <v>35</v>
      </c>
      <c r="D106" t="str">
        <f>CONCATENATE("0040027817","")</f>
        <v>0040027817</v>
      </c>
      <c r="E106" t="str">
        <f>CONCATENATE("0020307000349       ","")</f>
        <v>0020307000349       </v>
      </c>
      <c r="F106" t="str">
        <f>CONCATENATE("1117008","")</f>
        <v>1117008</v>
      </c>
      <c r="G106" t="s">
        <v>241</v>
      </c>
      <c r="H106" t="s">
        <v>247</v>
      </c>
      <c r="I106" t="s">
        <v>248</v>
      </c>
      <c r="J106" t="str">
        <f t="shared" si="14"/>
        <v>080203</v>
      </c>
      <c r="K106" t="s">
        <v>21</v>
      </c>
      <c r="L106" t="s">
        <v>22</v>
      </c>
      <c r="M106" t="str">
        <f t="shared" si="15"/>
        <v>1</v>
      </c>
      <c r="O106" t="str">
        <f>CONCATENATE("5 ","")</f>
        <v>5 </v>
      </c>
      <c r="P106">
        <v>445.95</v>
      </c>
      <c r="Q106" t="s">
        <v>23</v>
      </c>
    </row>
    <row r="107" spans="1:17" ht="15">
      <c r="A107" t="s">
        <v>17</v>
      </c>
      <c r="B107" s="1">
        <v>41807</v>
      </c>
      <c r="C107" t="s">
        <v>35</v>
      </c>
      <c r="D107" t="str">
        <f>CONCATENATE("0040034174","")</f>
        <v>0040034174</v>
      </c>
      <c r="E107" t="str">
        <f>CONCATENATE("0020314010045       ","")</f>
        <v>0020314010045       </v>
      </c>
      <c r="F107" t="str">
        <f>CONCATENATE("0605280183","")</f>
        <v>0605280183</v>
      </c>
      <c r="G107" t="s">
        <v>249</v>
      </c>
      <c r="H107" t="s">
        <v>250</v>
      </c>
      <c r="I107" t="s">
        <v>251</v>
      </c>
      <c r="J107" t="str">
        <f t="shared" si="14"/>
        <v>080203</v>
      </c>
      <c r="K107" t="s">
        <v>21</v>
      </c>
      <c r="L107" t="s">
        <v>22</v>
      </c>
      <c r="M107" t="str">
        <f t="shared" si="15"/>
        <v>1</v>
      </c>
      <c r="O107" t="str">
        <f aca="true" t="shared" si="16" ref="O107:O117">CONCATENATE("1 ","")</f>
        <v>1 </v>
      </c>
      <c r="P107">
        <v>196.4</v>
      </c>
      <c r="Q107" t="s">
        <v>23</v>
      </c>
    </row>
    <row r="108" spans="1:17" ht="15">
      <c r="A108" t="s">
        <v>17</v>
      </c>
      <c r="B108" s="1">
        <v>41807</v>
      </c>
      <c r="C108" t="s">
        <v>35</v>
      </c>
      <c r="D108" t="str">
        <f>CONCATENATE("0130016023","")</f>
        <v>0130016023</v>
      </c>
      <c r="E108" t="str">
        <f>CONCATENATE("0020318000030       ","")</f>
        <v>0020318000030       </v>
      </c>
      <c r="F108" t="str">
        <f>CONCATENATE("605280607","")</f>
        <v>605280607</v>
      </c>
      <c r="G108" t="s">
        <v>252</v>
      </c>
      <c r="H108" t="s">
        <v>253</v>
      </c>
      <c r="I108" t="s">
        <v>254</v>
      </c>
      <c r="J108" t="str">
        <f t="shared" si="14"/>
        <v>080203</v>
      </c>
      <c r="K108" t="s">
        <v>21</v>
      </c>
      <c r="L108" t="s">
        <v>22</v>
      </c>
      <c r="M108" t="str">
        <f t="shared" si="15"/>
        <v>1</v>
      </c>
      <c r="O108" t="str">
        <f t="shared" si="16"/>
        <v>1 </v>
      </c>
      <c r="P108">
        <v>18.1</v>
      </c>
      <c r="Q108" t="s">
        <v>23</v>
      </c>
    </row>
    <row r="109" spans="1:17" ht="15">
      <c r="A109" t="s">
        <v>17</v>
      </c>
      <c r="B109" s="1">
        <v>41807</v>
      </c>
      <c r="C109" t="s">
        <v>35</v>
      </c>
      <c r="D109" t="str">
        <f>CONCATENATE("0130016024","")</f>
        <v>0130016024</v>
      </c>
      <c r="E109" t="str">
        <f>CONCATENATE("0020318000035       ","")</f>
        <v>0020318000035       </v>
      </c>
      <c r="F109" t="str">
        <f>CONCATENATE("605280608","")</f>
        <v>605280608</v>
      </c>
      <c r="G109" t="s">
        <v>252</v>
      </c>
      <c r="H109" t="s">
        <v>255</v>
      </c>
      <c r="I109" t="s">
        <v>254</v>
      </c>
      <c r="J109" t="str">
        <f t="shared" si="14"/>
        <v>080203</v>
      </c>
      <c r="K109" t="s">
        <v>21</v>
      </c>
      <c r="L109" t="s">
        <v>22</v>
      </c>
      <c r="M109" t="str">
        <f t="shared" si="15"/>
        <v>1</v>
      </c>
      <c r="O109" t="str">
        <f t="shared" si="16"/>
        <v>1 </v>
      </c>
      <c r="P109">
        <v>28.3</v>
      </c>
      <c r="Q109" t="s">
        <v>23</v>
      </c>
    </row>
    <row r="110" spans="1:17" ht="15">
      <c r="A110" t="s">
        <v>17</v>
      </c>
      <c r="B110" s="1">
        <v>41807</v>
      </c>
      <c r="C110" t="s">
        <v>35</v>
      </c>
      <c r="D110" t="str">
        <f>CONCATENATE("0130016027","")</f>
        <v>0130016027</v>
      </c>
      <c r="E110" t="str">
        <f>CONCATENATE("0020318000050       ","")</f>
        <v>0020318000050       </v>
      </c>
      <c r="F110" t="str">
        <f>CONCATENATE("605278901","")</f>
        <v>605278901</v>
      </c>
      <c r="G110" t="s">
        <v>252</v>
      </c>
      <c r="H110" t="s">
        <v>256</v>
      </c>
      <c r="I110" t="s">
        <v>254</v>
      </c>
      <c r="J110" t="str">
        <f t="shared" si="14"/>
        <v>080203</v>
      </c>
      <c r="K110" t="s">
        <v>21</v>
      </c>
      <c r="L110" t="s">
        <v>22</v>
      </c>
      <c r="M110" t="str">
        <f t="shared" si="15"/>
        <v>1</v>
      </c>
      <c r="O110" t="str">
        <f t="shared" si="16"/>
        <v>1 </v>
      </c>
      <c r="P110">
        <v>14.1</v>
      </c>
      <c r="Q110" t="s">
        <v>23</v>
      </c>
    </row>
    <row r="111" spans="1:17" ht="15">
      <c r="A111" t="s">
        <v>17</v>
      </c>
      <c r="B111" s="1">
        <v>41807</v>
      </c>
      <c r="C111" t="s">
        <v>35</v>
      </c>
      <c r="D111" t="str">
        <f>CONCATENATE("0130016028","")</f>
        <v>0130016028</v>
      </c>
      <c r="E111" t="str">
        <f>CONCATENATE("0020318000055       ","")</f>
        <v>0020318000055       </v>
      </c>
      <c r="F111" t="str">
        <f>CONCATENATE("605278902","")</f>
        <v>605278902</v>
      </c>
      <c r="G111" t="s">
        <v>252</v>
      </c>
      <c r="H111" t="s">
        <v>257</v>
      </c>
      <c r="I111" t="s">
        <v>254</v>
      </c>
      <c r="J111" t="str">
        <f t="shared" si="14"/>
        <v>080203</v>
      </c>
      <c r="K111" t="s">
        <v>21</v>
      </c>
      <c r="L111" t="s">
        <v>22</v>
      </c>
      <c r="M111" t="str">
        <f t="shared" si="15"/>
        <v>1</v>
      </c>
      <c r="O111" t="str">
        <f t="shared" si="16"/>
        <v>1 </v>
      </c>
      <c r="P111">
        <v>10.6</v>
      </c>
      <c r="Q111" t="s">
        <v>23</v>
      </c>
    </row>
    <row r="112" spans="1:17" ht="15">
      <c r="A112" t="s">
        <v>17</v>
      </c>
      <c r="B112" s="1">
        <v>41807</v>
      </c>
      <c r="C112" t="s">
        <v>35</v>
      </c>
      <c r="D112" t="str">
        <f>CONCATENATE("0130016029","")</f>
        <v>0130016029</v>
      </c>
      <c r="E112" t="str">
        <f>CONCATENATE("0020318000060       ","")</f>
        <v>0020318000060       </v>
      </c>
      <c r="F112" t="str">
        <f>CONCATENATE("605278903","")</f>
        <v>605278903</v>
      </c>
      <c r="G112" t="s">
        <v>252</v>
      </c>
      <c r="H112" t="s">
        <v>258</v>
      </c>
      <c r="I112" t="s">
        <v>254</v>
      </c>
      <c r="J112" t="str">
        <f t="shared" si="14"/>
        <v>080203</v>
      </c>
      <c r="K112" t="s">
        <v>21</v>
      </c>
      <c r="L112" t="s">
        <v>22</v>
      </c>
      <c r="M112" t="str">
        <f t="shared" si="15"/>
        <v>1</v>
      </c>
      <c r="O112" t="str">
        <f t="shared" si="16"/>
        <v>1 </v>
      </c>
      <c r="P112">
        <v>20.4</v>
      </c>
      <c r="Q112" t="s">
        <v>23</v>
      </c>
    </row>
    <row r="113" spans="1:17" ht="15">
      <c r="A113" t="s">
        <v>17</v>
      </c>
      <c r="B113" s="1">
        <v>41807</v>
      </c>
      <c r="C113" t="s">
        <v>35</v>
      </c>
      <c r="D113" t="str">
        <f>CONCATENATE("0130016032","")</f>
        <v>0130016032</v>
      </c>
      <c r="E113" t="str">
        <f>CONCATENATE("0020320000090       ","")</f>
        <v>0020320000090       </v>
      </c>
      <c r="F113" t="str">
        <f>CONCATENATE("605278906","")</f>
        <v>605278906</v>
      </c>
      <c r="G113" t="s">
        <v>259</v>
      </c>
      <c r="H113" t="s">
        <v>260</v>
      </c>
      <c r="I113" s="2" t="s">
        <v>1417</v>
      </c>
      <c r="J113" t="str">
        <f t="shared" si="14"/>
        <v>080203</v>
      </c>
      <c r="K113" t="s">
        <v>21</v>
      </c>
      <c r="L113" t="s">
        <v>22</v>
      </c>
      <c r="M113" t="str">
        <f t="shared" si="15"/>
        <v>1</v>
      </c>
      <c r="O113" t="str">
        <f t="shared" si="16"/>
        <v>1 </v>
      </c>
      <c r="P113">
        <v>23.95</v>
      </c>
      <c r="Q113" t="s">
        <v>23</v>
      </c>
    </row>
    <row r="114" spans="1:17" ht="15">
      <c r="A114" t="s">
        <v>17</v>
      </c>
      <c r="B114" s="1">
        <v>41807</v>
      </c>
      <c r="C114" t="s">
        <v>173</v>
      </c>
      <c r="D114" t="str">
        <f>CONCATENATE("0130000951","")</f>
        <v>0130000951</v>
      </c>
      <c r="E114" t="str">
        <f>CONCATENATE("0020401000040       ","")</f>
        <v>0020401000040       </v>
      </c>
      <c r="F114" t="str">
        <f>CONCATENATE("606601325","")</f>
        <v>606601325</v>
      </c>
      <c r="G114" t="s">
        <v>261</v>
      </c>
      <c r="H114" t="s">
        <v>262</v>
      </c>
      <c r="I114" t="s">
        <v>263</v>
      </c>
      <c r="J114" t="str">
        <f aca="true" t="shared" si="17" ref="J114:J120">CONCATENATE("080204","")</f>
        <v>080204</v>
      </c>
      <c r="K114" t="s">
        <v>21</v>
      </c>
      <c r="L114" t="s">
        <v>22</v>
      </c>
      <c r="M114" t="str">
        <f t="shared" si="15"/>
        <v>1</v>
      </c>
      <c r="O114" t="str">
        <f t="shared" si="16"/>
        <v>1 </v>
      </c>
      <c r="P114">
        <v>24.75</v>
      </c>
      <c r="Q114" t="s">
        <v>23</v>
      </c>
    </row>
    <row r="115" spans="1:17" ht="15">
      <c r="A115" t="s">
        <v>17</v>
      </c>
      <c r="B115" s="1">
        <v>41807</v>
      </c>
      <c r="C115" t="s">
        <v>173</v>
      </c>
      <c r="D115" t="str">
        <f>CONCATENATE("0130019446","")</f>
        <v>0130019446</v>
      </c>
      <c r="E115" t="str">
        <f>CONCATENATE("0020401000800       ","")</f>
        <v>0020401000800       </v>
      </c>
      <c r="F115" t="str">
        <f>CONCATENATE("605933024","")</f>
        <v>605933024</v>
      </c>
      <c r="G115" t="s">
        <v>261</v>
      </c>
      <c r="H115" t="s">
        <v>264</v>
      </c>
      <c r="I115" t="s">
        <v>265</v>
      </c>
      <c r="J115" t="str">
        <f t="shared" si="17"/>
        <v>080204</v>
      </c>
      <c r="K115" t="s">
        <v>21</v>
      </c>
      <c r="L115" t="s">
        <v>22</v>
      </c>
      <c r="M115" t="str">
        <f t="shared" si="15"/>
        <v>1</v>
      </c>
      <c r="O115" t="str">
        <f t="shared" si="16"/>
        <v>1 </v>
      </c>
      <c r="P115">
        <v>14.2</v>
      </c>
      <c r="Q115" t="s">
        <v>23</v>
      </c>
    </row>
    <row r="116" spans="1:17" ht="15">
      <c r="A116" t="s">
        <v>17</v>
      </c>
      <c r="B116" s="1">
        <v>41807</v>
      </c>
      <c r="C116" t="s">
        <v>173</v>
      </c>
      <c r="D116" t="str">
        <f>CONCATENATE("0130001001","")</f>
        <v>0130001001</v>
      </c>
      <c r="E116" t="str">
        <f>CONCATENATE("0020401000910       ","")</f>
        <v>0020401000910       </v>
      </c>
      <c r="F116" t="str">
        <f>CONCATENATE("605399132","")</f>
        <v>605399132</v>
      </c>
      <c r="G116" t="s">
        <v>261</v>
      </c>
      <c r="H116" t="s">
        <v>266</v>
      </c>
      <c r="I116" t="s">
        <v>267</v>
      </c>
      <c r="J116" t="str">
        <f t="shared" si="17"/>
        <v>080204</v>
      </c>
      <c r="K116" t="s">
        <v>21</v>
      </c>
      <c r="L116" t="s">
        <v>22</v>
      </c>
      <c r="M116" t="str">
        <f t="shared" si="15"/>
        <v>1</v>
      </c>
      <c r="O116" t="str">
        <f t="shared" si="16"/>
        <v>1 </v>
      </c>
      <c r="P116">
        <v>22.1</v>
      </c>
      <c r="Q116" t="s">
        <v>23</v>
      </c>
    </row>
    <row r="117" spans="1:17" ht="15">
      <c r="A117" t="s">
        <v>17</v>
      </c>
      <c r="B117" s="1">
        <v>41807</v>
      </c>
      <c r="C117" t="s">
        <v>173</v>
      </c>
      <c r="D117" t="str">
        <f>CONCATENATE("0130008400","")</f>
        <v>0130008400</v>
      </c>
      <c r="E117" t="str">
        <f>CONCATENATE("0020401000911       ","")</f>
        <v>0020401000911       </v>
      </c>
      <c r="F117" t="str">
        <f>CONCATENATE("605399141","")</f>
        <v>605399141</v>
      </c>
      <c r="G117" t="s">
        <v>261</v>
      </c>
      <c r="H117" t="s">
        <v>268</v>
      </c>
      <c r="I117" t="s">
        <v>269</v>
      </c>
      <c r="J117" t="str">
        <f t="shared" si="17"/>
        <v>080204</v>
      </c>
      <c r="K117" t="s">
        <v>21</v>
      </c>
      <c r="L117" t="s">
        <v>22</v>
      </c>
      <c r="M117" t="str">
        <f t="shared" si="15"/>
        <v>1</v>
      </c>
      <c r="O117" t="str">
        <f t="shared" si="16"/>
        <v>1 </v>
      </c>
      <c r="P117">
        <v>45.05</v>
      </c>
      <c r="Q117" t="s">
        <v>23</v>
      </c>
    </row>
    <row r="118" spans="1:17" ht="15">
      <c r="A118" t="s">
        <v>17</v>
      </c>
      <c r="B118" s="1">
        <v>41807</v>
      </c>
      <c r="C118" t="s">
        <v>173</v>
      </c>
      <c r="D118" t="str">
        <f>CONCATENATE("0130001006","")</f>
        <v>0130001006</v>
      </c>
      <c r="E118" t="str">
        <f>CONCATENATE("0020401001040       ","")</f>
        <v>0020401001040       </v>
      </c>
      <c r="F118" t="str">
        <f>CONCATENATE("605352808","")</f>
        <v>605352808</v>
      </c>
      <c r="G118" t="s">
        <v>261</v>
      </c>
      <c r="H118" t="s">
        <v>270</v>
      </c>
      <c r="I118" t="s">
        <v>271</v>
      </c>
      <c r="J118" t="str">
        <f t="shared" si="17"/>
        <v>080204</v>
      </c>
      <c r="K118" t="s">
        <v>21</v>
      </c>
      <c r="L118" t="s">
        <v>22</v>
      </c>
      <c r="M118" t="str">
        <f t="shared" si="15"/>
        <v>1</v>
      </c>
      <c r="O118" t="str">
        <f>CONCATENATE("2 ","")</f>
        <v>2 </v>
      </c>
      <c r="P118">
        <v>72.95</v>
      </c>
      <c r="Q118" t="s">
        <v>23</v>
      </c>
    </row>
    <row r="119" spans="1:17" ht="15">
      <c r="A119" t="s">
        <v>17</v>
      </c>
      <c r="B119" s="1">
        <v>41807</v>
      </c>
      <c r="C119" t="s">
        <v>173</v>
      </c>
      <c r="D119" t="str">
        <f>CONCATENATE("0130009597","")</f>
        <v>0130009597</v>
      </c>
      <c r="E119" t="str">
        <f>CONCATENATE("0020403000062       ","")</f>
        <v>0020403000062       </v>
      </c>
      <c r="F119" t="str">
        <f>CONCATENATE("606034290","")</f>
        <v>606034290</v>
      </c>
      <c r="G119" t="s">
        <v>272</v>
      </c>
      <c r="H119" t="s">
        <v>273</v>
      </c>
      <c r="I119" t="s">
        <v>274</v>
      </c>
      <c r="J119" t="str">
        <f t="shared" si="17"/>
        <v>080204</v>
      </c>
      <c r="K119" t="s">
        <v>21</v>
      </c>
      <c r="L119" t="s">
        <v>22</v>
      </c>
      <c r="M119" t="str">
        <f t="shared" si="15"/>
        <v>1</v>
      </c>
      <c r="O119" t="str">
        <f>CONCATENATE("1 ","")</f>
        <v>1 </v>
      </c>
      <c r="P119">
        <v>23.6</v>
      </c>
      <c r="Q119" t="s">
        <v>23</v>
      </c>
    </row>
    <row r="120" spans="1:17" ht="15">
      <c r="A120" t="s">
        <v>17</v>
      </c>
      <c r="B120" s="1">
        <v>41807</v>
      </c>
      <c r="C120" t="s">
        <v>173</v>
      </c>
      <c r="D120" t="str">
        <f>CONCATENATE("0130009087","")</f>
        <v>0130009087</v>
      </c>
      <c r="E120" t="str">
        <f>CONCATENATE("0020403000185       ","")</f>
        <v>0020403000185       </v>
      </c>
      <c r="F120" t="str">
        <f>CONCATENATE("605397396","")</f>
        <v>605397396</v>
      </c>
      <c r="G120" t="s">
        <v>272</v>
      </c>
      <c r="H120" t="s">
        <v>275</v>
      </c>
      <c r="I120" t="s">
        <v>276</v>
      </c>
      <c r="J120" t="str">
        <f t="shared" si="17"/>
        <v>080204</v>
      </c>
      <c r="K120" t="s">
        <v>21</v>
      </c>
      <c r="L120" t="s">
        <v>22</v>
      </c>
      <c r="M120" t="str">
        <f t="shared" si="15"/>
        <v>1</v>
      </c>
      <c r="O120" t="str">
        <f>CONCATENATE("2 ","")</f>
        <v>2 </v>
      </c>
      <c r="P120">
        <v>17.2</v>
      </c>
      <c r="Q120" t="s">
        <v>23</v>
      </c>
    </row>
    <row r="121" spans="1:17" ht="15">
      <c r="A121" t="s">
        <v>17</v>
      </c>
      <c r="B121" s="1">
        <v>41807</v>
      </c>
      <c r="C121" t="s">
        <v>277</v>
      </c>
      <c r="D121" t="str">
        <f>CONCATENATE("0130010475","")</f>
        <v>0130010475</v>
      </c>
      <c r="E121" t="str">
        <f>CONCATENATE("0020404003200       ","")</f>
        <v>0020404003200       </v>
      </c>
      <c r="F121" t="str">
        <f>CONCATENATE("05505999","")</f>
        <v>05505999</v>
      </c>
      <c r="G121" t="s">
        <v>278</v>
      </c>
      <c r="H121" t="s">
        <v>279</v>
      </c>
      <c r="I121" t="s">
        <v>280</v>
      </c>
      <c r="J121" t="str">
        <f aca="true" t="shared" si="18" ref="J121:J131">CONCATENATE("080508","")</f>
        <v>080508</v>
      </c>
      <c r="K121" t="s">
        <v>21</v>
      </c>
      <c r="L121" t="s">
        <v>22</v>
      </c>
      <c r="M121" t="str">
        <f t="shared" si="15"/>
        <v>1</v>
      </c>
      <c r="O121" t="str">
        <f>CONCATENATE("3 ","")</f>
        <v>3 </v>
      </c>
      <c r="P121">
        <v>748.45</v>
      </c>
      <c r="Q121" t="s">
        <v>23</v>
      </c>
    </row>
    <row r="122" spans="1:17" ht="15">
      <c r="A122" t="s">
        <v>17</v>
      </c>
      <c r="B122" s="1">
        <v>41807</v>
      </c>
      <c r="C122" t="s">
        <v>277</v>
      </c>
      <c r="D122" t="str">
        <f>CONCATENATE("0130012331","")</f>
        <v>0130012331</v>
      </c>
      <c r="E122" t="str">
        <f>CONCATENATE("0020405000070       ","")</f>
        <v>0020405000070       </v>
      </c>
      <c r="F122" t="str">
        <f>CONCATENATE("606031481","")</f>
        <v>606031481</v>
      </c>
      <c r="G122" t="s">
        <v>281</v>
      </c>
      <c r="H122" t="s">
        <v>282</v>
      </c>
      <c r="I122" t="s">
        <v>283</v>
      </c>
      <c r="J122" t="str">
        <f t="shared" si="18"/>
        <v>080508</v>
      </c>
      <c r="K122" t="s">
        <v>21</v>
      </c>
      <c r="L122" t="s">
        <v>22</v>
      </c>
      <c r="M122" t="str">
        <f t="shared" si="15"/>
        <v>1</v>
      </c>
      <c r="O122" t="str">
        <f>CONCATENATE("1 ","")</f>
        <v>1 </v>
      </c>
      <c r="P122">
        <v>25.45</v>
      </c>
      <c r="Q122" t="s">
        <v>23</v>
      </c>
    </row>
    <row r="123" spans="1:17" ht="15">
      <c r="A123" t="s">
        <v>17</v>
      </c>
      <c r="B123" s="1">
        <v>41807</v>
      </c>
      <c r="C123" t="s">
        <v>277</v>
      </c>
      <c r="D123" t="str">
        <f>CONCATENATE("0130013198","")</f>
        <v>0130013198</v>
      </c>
      <c r="E123" t="str">
        <f>CONCATENATE("0020405000080       ","")</f>
        <v>0020405000080       </v>
      </c>
      <c r="F123" t="str">
        <f>CONCATENATE("606676480","")</f>
        <v>606676480</v>
      </c>
      <c r="G123" t="s">
        <v>281</v>
      </c>
      <c r="H123" t="s">
        <v>284</v>
      </c>
      <c r="I123" t="s">
        <v>285</v>
      </c>
      <c r="J123" t="str">
        <f t="shared" si="18"/>
        <v>080508</v>
      </c>
      <c r="K123" t="s">
        <v>21</v>
      </c>
      <c r="L123" t="s">
        <v>22</v>
      </c>
      <c r="M123" t="str">
        <f t="shared" si="15"/>
        <v>1</v>
      </c>
      <c r="O123" t="str">
        <f>CONCATENATE("1 ","")</f>
        <v>1 </v>
      </c>
      <c r="P123">
        <v>15.2</v>
      </c>
      <c r="Q123" t="s">
        <v>23</v>
      </c>
    </row>
    <row r="124" spans="1:17" ht="15">
      <c r="A124" t="s">
        <v>17</v>
      </c>
      <c r="B124" s="1">
        <v>41807</v>
      </c>
      <c r="C124" t="s">
        <v>277</v>
      </c>
      <c r="D124" t="str">
        <f>CONCATENATE("0130012330","")</f>
        <v>0130012330</v>
      </c>
      <c r="E124" t="str">
        <f>CONCATENATE("0020405000140       ","")</f>
        <v>0020405000140       </v>
      </c>
      <c r="F124" t="str">
        <f>CONCATENATE("606031483","")</f>
        <v>606031483</v>
      </c>
      <c r="G124" t="s">
        <v>281</v>
      </c>
      <c r="H124" t="s">
        <v>286</v>
      </c>
      <c r="I124" t="s">
        <v>283</v>
      </c>
      <c r="J124" t="str">
        <f t="shared" si="18"/>
        <v>080508</v>
      </c>
      <c r="K124" t="s">
        <v>21</v>
      </c>
      <c r="L124" t="s">
        <v>22</v>
      </c>
      <c r="M124" t="str">
        <f t="shared" si="15"/>
        <v>1</v>
      </c>
      <c r="O124" t="str">
        <f>CONCATENATE("1 ","")</f>
        <v>1 </v>
      </c>
      <c r="P124">
        <v>16.45</v>
      </c>
      <c r="Q124" t="s">
        <v>23</v>
      </c>
    </row>
    <row r="125" spans="1:17" ht="15">
      <c r="A125" t="s">
        <v>17</v>
      </c>
      <c r="B125" s="1">
        <v>41807</v>
      </c>
      <c r="C125" t="s">
        <v>277</v>
      </c>
      <c r="D125" t="str">
        <f>CONCATENATE("0130014103","")</f>
        <v>0130014103</v>
      </c>
      <c r="E125" t="str">
        <f>CONCATENATE("0020405000200       ","")</f>
        <v>0020405000200       </v>
      </c>
      <c r="F125" t="str">
        <f>CONCATENATE("606676483","")</f>
        <v>606676483</v>
      </c>
      <c r="G125" t="s">
        <v>281</v>
      </c>
      <c r="H125" t="s">
        <v>287</v>
      </c>
      <c r="I125" t="s">
        <v>283</v>
      </c>
      <c r="J125" t="str">
        <f t="shared" si="18"/>
        <v>080508</v>
      </c>
      <c r="K125" t="s">
        <v>21</v>
      </c>
      <c r="L125" t="s">
        <v>22</v>
      </c>
      <c r="M125" t="str">
        <f t="shared" si="15"/>
        <v>1</v>
      </c>
      <c r="O125" t="str">
        <f>CONCATENATE("1 ","")</f>
        <v>1 </v>
      </c>
      <c r="P125">
        <v>10.5</v>
      </c>
      <c r="Q125" t="s">
        <v>23</v>
      </c>
    </row>
    <row r="126" spans="1:17" ht="15">
      <c r="A126" t="s">
        <v>17</v>
      </c>
      <c r="B126" s="1">
        <v>41807</v>
      </c>
      <c r="C126" t="s">
        <v>277</v>
      </c>
      <c r="D126" t="str">
        <f>CONCATENATE("0130019891","")</f>
        <v>0130019891</v>
      </c>
      <c r="E126" t="str">
        <f>CONCATENATE("0020408002030       ","")</f>
        <v>0020408002030       </v>
      </c>
      <c r="F126" t="str">
        <f>CONCATENATE("606032899","")</f>
        <v>606032899</v>
      </c>
      <c r="G126" t="s">
        <v>288</v>
      </c>
      <c r="H126" t="s">
        <v>289</v>
      </c>
      <c r="I126" t="s">
        <v>290</v>
      </c>
      <c r="J126" t="str">
        <f t="shared" si="18"/>
        <v>080508</v>
      </c>
      <c r="K126" t="s">
        <v>21</v>
      </c>
      <c r="L126" t="s">
        <v>22</v>
      </c>
      <c r="M126" t="str">
        <f t="shared" si="15"/>
        <v>1</v>
      </c>
      <c r="O126" t="str">
        <f>CONCATENATE("2 ","")</f>
        <v>2 </v>
      </c>
      <c r="P126">
        <v>15.75</v>
      </c>
      <c r="Q126" t="s">
        <v>23</v>
      </c>
    </row>
    <row r="127" spans="1:17" ht="15">
      <c r="A127" t="s">
        <v>17</v>
      </c>
      <c r="B127" s="1">
        <v>41807</v>
      </c>
      <c r="C127" t="s">
        <v>277</v>
      </c>
      <c r="D127" t="str">
        <f>CONCATENATE("0130019889","")</f>
        <v>0130019889</v>
      </c>
      <c r="E127" t="str">
        <f>CONCATENATE("0020408002060       ","")</f>
        <v>0020408002060       </v>
      </c>
      <c r="F127" t="str">
        <f>CONCATENATE("606032884","")</f>
        <v>606032884</v>
      </c>
      <c r="G127" t="s">
        <v>288</v>
      </c>
      <c r="H127" t="s">
        <v>291</v>
      </c>
      <c r="I127" t="s">
        <v>290</v>
      </c>
      <c r="J127" t="str">
        <f t="shared" si="18"/>
        <v>080508</v>
      </c>
      <c r="K127" t="s">
        <v>21</v>
      </c>
      <c r="L127" t="s">
        <v>22</v>
      </c>
      <c r="M127" t="str">
        <f t="shared" si="15"/>
        <v>1</v>
      </c>
      <c r="O127" t="str">
        <f>CONCATENATE("4 ","")</f>
        <v>4 </v>
      </c>
      <c r="P127">
        <v>26.55</v>
      </c>
      <c r="Q127" t="s">
        <v>23</v>
      </c>
    </row>
    <row r="128" spans="1:17" ht="15">
      <c r="A128" t="s">
        <v>17</v>
      </c>
      <c r="B128" s="1">
        <v>41807</v>
      </c>
      <c r="C128" t="s">
        <v>277</v>
      </c>
      <c r="D128" t="str">
        <f>CONCATENATE("0130012439","")</f>
        <v>0130012439</v>
      </c>
      <c r="E128" t="str">
        <f>CONCATENATE("0020409000020       ","")</f>
        <v>0020409000020       </v>
      </c>
      <c r="F128" t="str">
        <f>CONCATENATE("00002756025","")</f>
        <v>00002756025</v>
      </c>
      <c r="G128" t="s">
        <v>292</v>
      </c>
      <c r="H128" t="s">
        <v>293</v>
      </c>
      <c r="I128" t="s">
        <v>294</v>
      </c>
      <c r="J128" t="str">
        <f t="shared" si="18"/>
        <v>080508</v>
      </c>
      <c r="K128" t="s">
        <v>21</v>
      </c>
      <c r="L128" t="s">
        <v>22</v>
      </c>
      <c r="M128" t="str">
        <f t="shared" si="15"/>
        <v>1</v>
      </c>
      <c r="O128" t="str">
        <f>CONCATENATE("1 ","")</f>
        <v>1 </v>
      </c>
      <c r="P128">
        <v>22.05</v>
      </c>
      <c r="Q128" t="s">
        <v>23</v>
      </c>
    </row>
    <row r="129" spans="1:17" ht="15">
      <c r="A129" t="s">
        <v>17</v>
      </c>
      <c r="B129" s="1">
        <v>41807</v>
      </c>
      <c r="C129" t="s">
        <v>277</v>
      </c>
      <c r="D129" t="str">
        <f>CONCATENATE("0130012589","")</f>
        <v>0130012589</v>
      </c>
      <c r="E129" t="str">
        <f>CONCATENATE("0020409000110       ","")</f>
        <v>0020409000110       </v>
      </c>
      <c r="F129" t="str">
        <f>CONCATENATE("606082472","")</f>
        <v>606082472</v>
      </c>
      <c r="G129" t="s">
        <v>292</v>
      </c>
      <c r="H129" t="s">
        <v>295</v>
      </c>
      <c r="I129" t="s">
        <v>294</v>
      </c>
      <c r="J129" t="str">
        <f t="shared" si="18"/>
        <v>080508</v>
      </c>
      <c r="K129" t="s">
        <v>21</v>
      </c>
      <c r="L129" t="s">
        <v>22</v>
      </c>
      <c r="M129" t="str">
        <f t="shared" si="15"/>
        <v>1</v>
      </c>
      <c r="O129" t="str">
        <f>CONCATENATE("1 ","")</f>
        <v>1 </v>
      </c>
      <c r="P129">
        <v>10.5</v>
      </c>
      <c r="Q129" t="s">
        <v>23</v>
      </c>
    </row>
    <row r="130" spans="1:17" ht="15">
      <c r="A130" t="s">
        <v>17</v>
      </c>
      <c r="B130" s="1">
        <v>41807</v>
      </c>
      <c r="C130" t="s">
        <v>277</v>
      </c>
      <c r="D130" t="str">
        <f>CONCATENATE("0130020098","")</f>
        <v>0130020098</v>
      </c>
      <c r="E130" t="str">
        <f>CONCATENATE("0020410001110       ","")</f>
        <v>0020410001110       </v>
      </c>
      <c r="F130" t="str">
        <f>CONCATENATE("606029911","")</f>
        <v>606029911</v>
      </c>
      <c r="G130" t="s">
        <v>296</v>
      </c>
      <c r="H130" t="s">
        <v>297</v>
      </c>
      <c r="I130" t="s">
        <v>298</v>
      </c>
      <c r="J130" t="str">
        <f t="shared" si="18"/>
        <v>080508</v>
      </c>
      <c r="K130" t="s">
        <v>21</v>
      </c>
      <c r="L130" t="s">
        <v>22</v>
      </c>
      <c r="M130" t="str">
        <f t="shared" si="15"/>
        <v>1</v>
      </c>
      <c r="O130" t="str">
        <f>CONCATENATE("2 ","")</f>
        <v>2 </v>
      </c>
      <c r="P130">
        <v>15.75</v>
      </c>
      <c r="Q130" t="s">
        <v>23</v>
      </c>
    </row>
    <row r="131" spans="1:17" ht="15">
      <c r="A131" t="s">
        <v>17</v>
      </c>
      <c r="B131" s="1">
        <v>41807</v>
      </c>
      <c r="C131" t="s">
        <v>277</v>
      </c>
      <c r="D131" t="str">
        <f>CONCATENATE("0130020106","")</f>
        <v>0130020106</v>
      </c>
      <c r="E131" t="str">
        <f>CONCATENATE("0020410002140       ","")</f>
        <v>0020410002140       </v>
      </c>
      <c r="F131" t="str">
        <f>CONCATENATE("606033516","")</f>
        <v>606033516</v>
      </c>
      <c r="G131" t="s">
        <v>296</v>
      </c>
      <c r="H131" t="s">
        <v>299</v>
      </c>
      <c r="I131" t="s">
        <v>300</v>
      </c>
      <c r="J131" t="str">
        <f t="shared" si="18"/>
        <v>080508</v>
      </c>
      <c r="K131" t="s">
        <v>21</v>
      </c>
      <c r="L131" t="s">
        <v>22</v>
      </c>
      <c r="M131" t="str">
        <f t="shared" si="15"/>
        <v>1</v>
      </c>
      <c r="O131" t="str">
        <f>CONCATENATE("1 ","")</f>
        <v>1 </v>
      </c>
      <c r="P131">
        <v>17.2</v>
      </c>
      <c r="Q131" t="s">
        <v>23</v>
      </c>
    </row>
    <row r="132" spans="1:17" ht="15">
      <c r="A132" t="s">
        <v>17</v>
      </c>
      <c r="B132" s="1">
        <v>41807</v>
      </c>
      <c r="C132" t="s">
        <v>301</v>
      </c>
      <c r="D132" t="str">
        <f>CONCATENATE("0040027079","")</f>
        <v>0040027079</v>
      </c>
      <c r="E132" t="str">
        <f>CONCATENATE("0020428000023       ","")</f>
        <v>0020428000023       </v>
      </c>
      <c r="F132" t="str">
        <f>CONCATENATE("2120786","")</f>
        <v>2120786</v>
      </c>
      <c r="G132" t="s">
        <v>302</v>
      </c>
      <c r="H132" t="s">
        <v>303</v>
      </c>
      <c r="I132" t="s">
        <v>304</v>
      </c>
      <c r="J132" t="str">
        <f aca="true" t="shared" si="19" ref="J132:J137">CONCATENATE("080705","")</f>
        <v>080705</v>
      </c>
      <c r="K132" t="s">
        <v>21</v>
      </c>
      <c r="L132" t="s">
        <v>22</v>
      </c>
      <c r="M132" t="str">
        <f t="shared" si="15"/>
        <v>1</v>
      </c>
      <c r="O132" t="str">
        <f>CONCATENATE("1 ","")</f>
        <v>1 </v>
      </c>
      <c r="P132">
        <v>13.4</v>
      </c>
      <c r="Q132" t="s">
        <v>23</v>
      </c>
    </row>
    <row r="133" spans="1:17" ht="15">
      <c r="A133" t="s">
        <v>17</v>
      </c>
      <c r="B133" s="1">
        <v>41807</v>
      </c>
      <c r="C133" t="s">
        <v>301</v>
      </c>
      <c r="D133" t="str">
        <f>CONCATENATE("0130014732","")</f>
        <v>0130014732</v>
      </c>
      <c r="E133" t="str">
        <f>CONCATENATE("0020428000038       ","")</f>
        <v>0020428000038       </v>
      </c>
      <c r="F133" t="str">
        <f>CONCATENATE("605113982","")</f>
        <v>605113982</v>
      </c>
      <c r="G133" t="s">
        <v>302</v>
      </c>
      <c r="H133" t="s">
        <v>305</v>
      </c>
      <c r="I133" t="s">
        <v>306</v>
      </c>
      <c r="J133" t="str">
        <f t="shared" si="19"/>
        <v>080705</v>
      </c>
      <c r="K133" t="s">
        <v>21</v>
      </c>
      <c r="L133" t="s">
        <v>22</v>
      </c>
      <c r="M133" t="str">
        <f t="shared" si="15"/>
        <v>1</v>
      </c>
      <c r="O133" t="str">
        <f>CONCATENATE("1 ","")</f>
        <v>1 </v>
      </c>
      <c r="P133">
        <v>21.1</v>
      </c>
      <c r="Q133" t="s">
        <v>23</v>
      </c>
    </row>
    <row r="134" spans="1:17" ht="15">
      <c r="A134" t="s">
        <v>17</v>
      </c>
      <c r="B134" s="1">
        <v>41807</v>
      </c>
      <c r="C134" t="s">
        <v>301</v>
      </c>
      <c r="D134" t="str">
        <f>CONCATENATE("0130016972","")</f>
        <v>0130016972</v>
      </c>
      <c r="E134" t="str">
        <f>CONCATENATE("0020428000218       ","")</f>
        <v>0020428000218       </v>
      </c>
      <c r="F134" t="str">
        <f>CONCATENATE("605617472","")</f>
        <v>605617472</v>
      </c>
      <c r="G134" t="s">
        <v>302</v>
      </c>
      <c r="H134" t="s">
        <v>307</v>
      </c>
      <c r="I134" t="s">
        <v>308</v>
      </c>
      <c r="J134" t="str">
        <f t="shared" si="19"/>
        <v>080705</v>
      </c>
      <c r="K134" t="s">
        <v>21</v>
      </c>
      <c r="L134" t="s">
        <v>22</v>
      </c>
      <c r="M134" t="str">
        <f t="shared" si="15"/>
        <v>1</v>
      </c>
      <c r="O134" t="str">
        <f>CONCATENATE("1 ","")</f>
        <v>1 </v>
      </c>
      <c r="P134">
        <v>34.3</v>
      </c>
      <c r="Q134" t="s">
        <v>23</v>
      </c>
    </row>
    <row r="135" spans="1:17" ht="15">
      <c r="A135" t="s">
        <v>17</v>
      </c>
      <c r="B135" s="1">
        <v>41807</v>
      </c>
      <c r="C135" t="s">
        <v>301</v>
      </c>
      <c r="D135" t="str">
        <f>CONCATENATE("0040027798","")</f>
        <v>0040027798</v>
      </c>
      <c r="E135" t="str">
        <f>CONCATENATE("0020429000253       ","")</f>
        <v>0020429000253       </v>
      </c>
      <c r="F135" t="str">
        <f>CONCATENATE("6055557546","")</f>
        <v>6055557546</v>
      </c>
      <c r="G135" t="s">
        <v>309</v>
      </c>
      <c r="H135" t="s">
        <v>310</v>
      </c>
      <c r="I135" t="s">
        <v>311</v>
      </c>
      <c r="J135" t="str">
        <f t="shared" si="19"/>
        <v>080705</v>
      </c>
      <c r="K135" t="s">
        <v>21</v>
      </c>
      <c r="L135" t="s">
        <v>22</v>
      </c>
      <c r="M135" t="str">
        <f t="shared" si="15"/>
        <v>1</v>
      </c>
      <c r="O135" t="str">
        <f>CONCATENATE("6 ","")</f>
        <v>6 </v>
      </c>
      <c r="P135">
        <v>544.55</v>
      </c>
      <c r="Q135" t="s">
        <v>23</v>
      </c>
    </row>
    <row r="136" spans="1:17" ht="15">
      <c r="A136" t="s">
        <v>17</v>
      </c>
      <c r="B136" s="1">
        <v>41807</v>
      </c>
      <c r="C136" t="s">
        <v>301</v>
      </c>
      <c r="D136" t="str">
        <f>CONCATENATE("0130015891","")</f>
        <v>0130015891</v>
      </c>
      <c r="E136" t="str">
        <f>CONCATENATE("0020430000110       ","")</f>
        <v>0020430000110       </v>
      </c>
      <c r="F136" t="str">
        <f>CONCATENATE("605086677","")</f>
        <v>605086677</v>
      </c>
      <c r="G136" t="s">
        <v>312</v>
      </c>
      <c r="H136" t="s">
        <v>313</v>
      </c>
      <c r="I136" t="s">
        <v>314</v>
      </c>
      <c r="J136" t="str">
        <f t="shared" si="19"/>
        <v>080705</v>
      </c>
      <c r="K136" t="s">
        <v>21</v>
      </c>
      <c r="L136" t="s">
        <v>22</v>
      </c>
      <c r="M136" t="str">
        <f t="shared" si="15"/>
        <v>1</v>
      </c>
      <c r="O136" t="str">
        <f>CONCATENATE("1 ","")</f>
        <v>1 </v>
      </c>
      <c r="P136">
        <v>15.25</v>
      </c>
      <c r="Q136" t="s">
        <v>23</v>
      </c>
    </row>
    <row r="137" spans="1:17" ht="15">
      <c r="A137" t="s">
        <v>17</v>
      </c>
      <c r="B137" s="1">
        <v>41807</v>
      </c>
      <c r="C137" t="s">
        <v>301</v>
      </c>
      <c r="D137" t="str">
        <f>CONCATENATE("0130015903","")</f>
        <v>0130015903</v>
      </c>
      <c r="E137" t="str">
        <f>CONCATENATE("0020430000220       ","")</f>
        <v>0020430000220       </v>
      </c>
      <c r="F137" t="str">
        <f>CONCATENATE("605083255","")</f>
        <v>605083255</v>
      </c>
      <c r="G137" t="s">
        <v>312</v>
      </c>
      <c r="H137" t="s">
        <v>315</v>
      </c>
      <c r="I137" t="s">
        <v>314</v>
      </c>
      <c r="J137" t="str">
        <f t="shared" si="19"/>
        <v>080705</v>
      </c>
      <c r="K137" t="s">
        <v>21</v>
      </c>
      <c r="L137" t="s">
        <v>22</v>
      </c>
      <c r="M137" t="str">
        <f t="shared" si="15"/>
        <v>1</v>
      </c>
      <c r="O137" t="str">
        <f>CONCATENATE("4 ","")</f>
        <v>4 </v>
      </c>
      <c r="P137">
        <v>1072.65</v>
      </c>
      <c r="Q137" t="s">
        <v>23</v>
      </c>
    </row>
    <row r="138" spans="1:17" ht="15">
      <c r="A138" t="s">
        <v>17</v>
      </c>
      <c r="B138" s="1">
        <v>41807</v>
      </c>
      <c r="C138" t="s">
        <v>107</v>
      </c>
      <c r="D138" t="str">
        <f>CONCATENATE("0130001047","")</f>
        <v>0130001047</v>
      </c>
      <c r="E138" t="str">
        <f>CONCATENATE("0020501001010       ","")</f>
        <v>0020501001010       </v>
      </c>
      <c r="F138" t="str">
        <f>CONCATENATE("605230109","")</f>
        <v>605230109</v>
      </c>
      <c r="G138" t="s">
        <v>316</v>
      </c>
      <c r="H138" t="s">
        <v>317</v>
      </c>
      <c r="I138" t="s">
        <v>318</v>
      </c>
      <c r="J138" t="str">
        <f aca="true" t="shared" si="20" ref="J138:J165">CONCATENATE("080205","")</f>
        <v>080205</v>
      </c>
      <c r="K138" t="s">
        <v>21</v>
      </c>
      <c r="L138" t="s">
        <v>22</v>
      </c>
      <c r="M138" t="str">
        <f t="shared" si="15"/>
        <v>1</v>
      </c>
      <c r="O138" t="str">
        <f aca="true" t="shared" si="21" ref="O138:O149">CONCATENATE("1 ","")</f>
        <v>1 </v>
      </c>
      <c r="P138">
        <v>107.4</v>
      </c>
      <c r="Q138" t="s">
        <v>23</v>
      </c>
    </row>
    <row r="139" spans="1:17" ht="15">
      <c r="A139" t="s">
        <v>17</v>
      </c>
      <c r="B139" s="1">
        <v>41807</v>
      </c>
      <c r="C139" t="s">
        <v>107</v>
      </c>
      <c r="D139" t="str">
        <f>CONCATENATE("0130001077","")</f>
        <v>0130001077</v>
      </c>
      <c r="E139" t="str">
        <f>CONCATENATE("0020501001740       ","")</f>
        <v>0020501001740       </v>
      </c>
      <c r="F139" t="str">
        <f>CONCATENATE("605556440","")</f>
        <v>605556440</v>
      </c>
      <c r="G139" t="s">
        <v>316</v>
      </c>
      <c r="H139" t="s">
        <v>319</v>
      </c>
      <c r="I139" t="s">
        <v>320</v>
      </c>
      <c r="J139" t="str">
        <f t="shared" si="20"/>
        <v>080205</v>
      </c>
      <c r="K139" t="s">
        <v>21</v>
      </c>
      <c r="L139" t="s">
        <v>22</v>
      </c>
      <c r="M139" t="str">
        <f t="shared" si="15"/>
        <v>1</v>
      </c>
      <c r="O139" t="str">
        <f t="shared" si="21"/>
        <v>1 </v>
      </c>
      <c r="P139">
        <v>45.5</v>
      </c>
      <c r="Q139" t="s">
        <v>23</v>
      </c>
    </row>
    <row r="140" spans="1:17" ht="15">
      <c r="A140" t="s">
        <v>17</v>
      </c>
      <c r="B140" s="1">
        <v>41807</v>
      </c>
      <c r="C140" t="s">
        <v>107</v>
      </c>
      <c r="D140" t="str">
        <f>CONCATENATE("0130001099","")</f>
        <v>0130001099</v>
      </c>
      <c r="E140" t="str">
        <f>CONCATENATE("0020501001990       ","")</f>
        <v>0020501001990       </v>
      </c>
      <c r="F140" t="str">
        <f>CONCATENATE("605565188","")</f>
        <v>605565188</v>
      </c>
      <c r="G140" t="s">
        <v>316</v>
      </c>
      <c r="H140" t="s">
        <v>321</v>
      </c>
      <c r="I140" t="s">
        <v>322</v>
      </c>
      <c r="J140" t="str">
        <f t="shared" si="20"/>
        <v>080205</v>
      </c>
      <c r="K140" t="s">
        <v>21</v>
      </c>
      <c r="L140" t="s">
        <v>22</v>
      </c>
      <c r="M140" t="str">
        <f t="shared" si="15"/>
        <v>1</v>
      </c>
      <c r="O140" t="str">
        <f t="shared" si="21"/>
        <v>1 </v>
      </c>
      <c r="P140">
        <v>11.8</v>
      </c>
      <c r="Q140" t="s">
        <v>23</v>
      </c>
    </row>
    <row r="141" spans="1:17" ht="15">
      <c r="A141" t="s">
        <v>17</v>
      </c>
      <c r="B141" s="1">
        <v>41807</v>
      </c>
      <c r="C141" t="s">
        <v>107</v>
      </c>
      <c r="D141" t="str">
        <f>CONCATENATE("0130008199","")</f>
        <v>0130008199</v>
      </c>
      <c r="E141" t="str">
        <f>CONCATENATE("0020501002015       ","")</f>
        <v>0020501002015       </v>
      </c>
      <c r="F141" t="str">
        <f>CONCATENATE("110397","")</f>
        <v>110397</v>
      </c>
      <c r="G141" t="s">
        <v>316</v>
      </c>
      <c r="H141" t="s">
        <v>323</v>
      </c>
      <c r="I141" t="s">
        <v>324</v>
      </c>
      <c r="J141" t="str">
        <f t="shared" si="20"/>
        <v>080205</v>
      </c>
      <c r="K141" t="s">
        <v>21</v>
      </c>
      <c r="L141" t="s">
        <v>22</v>
      </c>
      <c r="M141" t="str">
        <f>CONCATENATE("3","")</f>
        <v>3</v>
      </c>
      <c r="O141" t="str">
        <f t="shared" si="21"/>
        <v>1 </v>
      </c>
      <c r="P141">
        <v>47.05</v>
      </c>
      <c r="Q141" t="s">
        <v>68</v>
      </c>
    </row>
    <row r="142" spans="1:17" ht="15">
      <c r="A142" t="s">
        <v>17</v>
      </c>
      <c r="B142" s="1">
        <v>41807</v>
      </c>
      <c r="C142" t="s">
        <v>107</v>
      </c>
      <c r="D142" t="str">
        <f>CONCATENATE("0130010690","")</f>
        <v>0130010690</v>
      </c>
      <c r="E142" t="str">
        <f>CONCATENATE("0020502003985       ","")</f>
        <v>0020502003985       </v>
      </c>
      <c r="F142" t="str">
        <f>CONCATENATE("605556444","")</f>
        <v>605556444</v>
      </c>
      <c r="G142" t="s">
        <v>325</v>
      </c>
      <c r="H142" t="s">
        <v>326</v>
      </c>
      <c r="I142" t="s">
        <v>327</v>
      </c>
      <c r="J142" t="str">
        <f t="shared" si="20"/>
        <v>080205</v>
      </c>
      <c r="K142" t="s">
        <v>21</v>
      </c>
      <c r="L142" t="s">
        <v>22</v>
      </c>
      <c r="M142" t="str">
        <f aca="true" t="shared" si="22" ref="M142:M173">CONCATENATE("1","")</f>
        <v>1</v>
      </c>
      <c r="O142" t="str">
        <f t="shared" si="21"/>
        <v>1 </v>
      </c>
      <c r="P142">
        <v>22.8</v>
      </c>
      <c r="Q142" t="s">
        <v>23</v>
      </c>
    </row>
    <row r="143" spans="1:17" ht="15">
      <c r="A143" t="s">
        <v>17</v>
      </c>
      <c r="B143" s="1">
        <v>41807</v>
      </c>
      <c r="C143" t="s">
        <v>107</v>
      </c>
      <c r="D143" t="str">
        <f>CONCATENATE("0130007432","")</f>
        <v>0130007432</v>
      </c>
      <c r="E143" t="str">
        <f>CONCATENATE("0020503000645       ","")</f>
        <v>0020503000645       </v>
      </c>
      <c r="F143" t="str">
        <f>CONCATENATE("605282227","")</f>
        <v>605282227</v>
      </c>
      <c r="G143" t="s">
        <v>328</v>
      </c>
      <c r="H143" t="s">
        <v>329</v>
      </c>
      <c r="I143" t="s">
        <v>330</v>
      </c>
      <c r="J143" t="str">
        <f t="shared" si="20"/>
        <v>080205</v>
      </c>
      <c r="K143" t="s">
        <v>21</v>
      </c>
      <c r="L143" t="s">
        <v>22</v>
      </c>
      <c r="M143" t="str">
        <f t="shared" si="22"/>
        <v>1</v>
      </c>
      <c r="O143" t="str">
        <f t="shared" si="21"/>
        <v>1 </v>
      </c>
      <c r="P143">
        <v>94.2</v>
      </c>
      <c r="Q143" t="s">
        <v>23</v>
      </c>
    </row>
    <row r="144" spans="1:17" ht="15">
      <c r="A144" t="s">
        <v>17</v>
      </c>
      <c r="B144" s="1">
        <v>41807</v>
      </c>
      <c r="C144" t="s">
        <v>107</v>
      </c>
      <c r="D144" t="str">
        <f>CONCATENATE("0130001291","")</f>
        <v>0130001291</v>
      </c>
      <c r="E144" t="str">
        <f>CONCATENATE("0020503001250       ","")</f>
        <v>0020503001250       </v>
      </c>
      <c r="F144" t="str">
        <f>CONCATENATE("605349332","")</f>
        <v>605349332</v>
      </c>
      <c r="G144" t="s">
        <v>325</v>
      </c>
      <c r="H144" t="s">
        <v>331</v>
      </c>
      <c r="I144" t="s">
        <v>332</v>
      </c>
      <c r="J144" t="str">
        <f t="shared" si="20"/>
        <v>080205</v>
      </c>
      <c r="K144" t="s">
        <v>21</v>
      </c>
      <c r="L144" t="s">
        <v>22</v>
      </c>
      <c r="M144" t="str">
        <f t="shared" si="22"/>
        <v>1</v>
      </c>
      <c r="O144" t="str">
        <f t="shared" si="21"/>
        <v>1 </v>
      </c>
      <c r="P144">
        <v>18.05</v>
      </c>
      <c r="Q144" t="s">
        <v>23</v>
      </c>
    </row>
    <row r="145" spans="1:17" ht="15">
      <c r="A145" t="s">
        <v>17</v>
      </c>
      <c r="B145" s="1">
        <v>41807</v>
      </c>
      <c r="C145" t="s">
        <v>107</v>
      </c>
      <c r="D145" t="str">
        <f>CONCATENATE("0130001342","")</f>
        <v>0130001342</v>
      </c>
      <c r="E145" t="str">
        <f>CONCATENATE("0020503001870       ","")</f>
        <v>0020503001870       </v>
      </c>
      <c r="F145" t="str">
        <f>CONCATENATE("605556433","")</f>
        <v>605556433</v>
      </c>
      <c r="G145" t="s">
        <v>325</v>
      </c>
      <c r="H145" t="s">
        <v>333</v>
      </c>
      <c r="I145" t="s">
        <v>334</v>
      </c>
      <c r="J145" t="str">
        <f t="shared" si="20"/>
        <v>080205</v>
      </c>
      <c r="K145" t="s">
        <v>21</v>
      </c>
      <c r="L145" t="s">
        <v>22</v>
      </c>
      <c r="M145" t="str">
        <f t="shared" si="22"/>
        <v>1</v>
      </c>
      <c r="O145" t="str">
        <f t="shared" si="21"/>
        <v>1 </v>
      </c>
      <c r="P145">
        <v>93.3</v>
      </c>
      <c r="Q145" t="s">
        <v>23</v>
      </c>
    </row>
    <row r="146" spans="1:17" ht="15">
      <c r="A146" t="s">
        <v>17</v>
      </c>
      <c r="B146" s="1">
        <v>41807</v>
      </c>
      <c r="C146" t="s">
        <v>107</v>
      </c>
      <c r="D146" t="str">
        <f>CONCATENATE("0130001361","")</f>
        <v>0130001361</v>
      </c>
      <c r="E146" t="str">
        <f>CONCATENATE("0020503003020       ","")</f>
        <v>0020503003020       </v>
      </c>
      <c r="F146" t="str">
        <f>CONCATENATE("605230108","")</f>
        <v>605230108</v>
      </c>
      <c r="G146" t="s">
        <v>335</v>
      </c>
      <c r="H146" t="s">
        <v>336</v>
      </c>
      <c r="I146" t="s">
        <v>337</v>
      </c>
      <c r="J146" t="str">
        <f t="shared" si="20"/>
        <v>080205</v>
      </c>
      <c r="K146" t="s">
        <v>21</v>
      </c>
      <c r="L146" t="s">
        <v>22</v>
      </c>
      <c r="M146" t="str">
        <f t="shared" si="22"/>
        <v>1</v>
      </c>
      <c r="O146" t="str">
        <f t="shared" si="21"/>
        <v>1 </v>
      </c>
      <c r="P146">
        <v>44.6</v>
      </c>
      <c r="Q146" t="s">
        <v>23</v>
      </c>
    </row>
    <row r="147" spans="1:17" ht="15">
      <c r="A147" t="s">
        <v>17</v>
      </c>
      <c r="B147" s="1">
        <v>41807</v>
      </c>
      <c r="C147" t="s">
        <v>107</v>
      </c>
      <c r="D147" t="str">
        <f>CONCATENATE("0130015642","")</f>
        <v>0130015642</v>
      </c>
      <c r="E147" t="str">
        <f>CONCATENATE("0020504002115       ","")</f>
        <v>0020504002115       </v>
      </c>
      <c r="F147" t="str">
        <f>CONCATENATE("605288858","")</f>
        <v>605288858</v>
      </c>
      <c r="G147" t="s">
        <v>335</v>
      </c>
      <c r="H147" t="s">
        <v>338</v>
      </c>
      <c r="I147" t="s">
        <v>339</v>
      </c>
      <c r="J147" t="str">
        <f t="shared" si="20"/>
        <v>080205</v>
      </c>
      <c r="K147" t="s">
        <v>21</v>
      </c>
      <c r="L147" t="s">
        <v>22</v>
      </c>
      <c r="M147" t="str">
        <f t="shared" si="22"/>
        <v>1</v>
      </c>
      <c r="O147" t="str">
        <f t="shared" si="21"/>
        <v>1 </v>
      </c>
      <c r="P147">
        <v>39.45</v>
      </c>
      <c r="Q147" t="s">
        <v>23</v>
      </c>
    </row>
    <row r="148" spans="1:17" ht="15">
      <c r="A148" t="s">
        <v>17</v>
      </c>
      <c r="B148" s="1">
        <v>41807</v>
      </c>
      <c r="C148" t="s">
        <v>107</v>
      </c>
      <c r="D148" t="str">
        <f>CONCATENATE("0130012500","")</f>
        <v>0130012500</v>
      </c>
      <c r="E148" t="str">
        <f>CONCATENATE("0020504002730       ","")</f>
        <v>0020504002730       </v>
      </c>
      <c r="F148" t="str">
        <f>CONCATENATE("00000006920","")</f>
        <v>00000006920</v>
      </c>
      <c r="G148" t="s">
        <v>335</v>
      </c>
      <c r="H148" t="s">
        <v>340</v>
      </c>
      <c r="I148" t="s">
        <v>327</v>
      </c>
      <c r="J148" t="str">
        <f t="shared" si="20"/>
        <v>080205</v>
      </c>
      <c r="K148" t="s">
        <v>21</v>
      </c>
      <c r="L148" t="s">
        <v>22</v>
      </c>
      <c r="M148" t="str">
        <f t="shared" si="22"/>
        <v>1</v>
      </c>
      <c r="O148" t="str">
        <f t="shared" si="21"/>
        <v>1 </v>
      </c>
      <c r="P148">
        <v>19.8</v>
      </c>
      <c r="Q148" t="s">
        <v>23</v>
      </c>
    </row>
    <row r="149" spans="1:17" ht="15">
      <c r="A149" t="s">
        <v>17</v>
      </c>
      <c r="B149" s="1">
        <v>41807</v>
      </c>
      <c r="C149" t="s">
        <v>107</v>
      </c>
      <c r="D149" t="str">
        <f>CONCATENATE("0130017210","")</f>
        <v>0130017210</v>
      </c>
      <c r="E149" t="str">
        <f>CONCATENATE("0020504002933       ","")</f>
        <v>0020504002933       </v>
      </c>
      <c r="F149" t="str">
        <f>CONCATENATE("605755974","")</f>
        <v>605755974</v>
      </c>
      <c r="G149" t="s">
        <v>335</v>
      </c>
      <c r="H149" t="s">
        <v>341</v>
      </c>
      <c r="I149" t="s">
        <v>327</v>
      </c>
      <c r="J149" t="str">
        <f t="shared" si="20"/>
        <v>080205</v>
      </c>
      <c r="K149" t="s">
        <v>21</v>
      </c>
      <c r="L149" t="s">
        <v>22</v>
      </c>
      <c r="M149" t="str">
        <f t="shared" si="22"/>
        <v>1</v>
      </c>
      <c r="O149" t="str">
        <f t="shared" si="21"/>
        <v>1 </v>
      </c>
      <c r="P149">
        <v>29.55</v>
      </c>
      <c r="Q149" t="s">
        <v>23</v>
      </c>
    </row>
    <row r="150" spans="1:17" ht="15">
      <c r="A150" t="s">
        <v>17</v>
      </c>
      <c r="B150" s="1">
        <v>41807</v>
      </c>
      <c r="C150" t="s">
        <v>107</v>
      </c>
      <c r="D150" t="str">
        <f>CONCATENATE("0040034168","")</f>
        <v>0040034168</v>
      </c>
      <c r="E150" t="str">
        <f>CONCATENATE("0020508003020       ","")</f>
        <v>0020508003020       </v>
      </c>
      <c r="F150" t="str">
        <f>CONCATENATE("1760770","")</f>
        <v>1760770</v>
      </c>
      <c r="G150" t="s">
        <v>342</v>
      </c>
      <c r="H150" t="s">
        <v>343</v>
      </c>
      <c r="I150" t="s">
        <v>344</v>
      </c>
      <c r="J150" t="str">
        <f t="shared" si="20"/>
        <v>080205</v>
      </c>
      <c r="K150" t="s">
        <v>21</v>
      </c>
      <c r="L150" t="s">
        <v>22</v>
      </c>
      <c r="M150" t="str">
        <f t="shared" si="22"/>
        <v>1</v>
      </c>
      <c r="O150" t="str">
        <f>CONCATENATE("2 ","")</f>
        <v>2 </v>
      </c>
      <c r="P150">
        <v>60.25</v>
      </c>
      <c r="Q150" t="s">
        <v>23</v>
      </c>
    </row>
    <row r="151" spans="1:17" ht="15">
      <c r="A151" t="s">
        <v>17</v>
      </c>
      <c r="B151" s="1">
        <v>41807</v>
      </c>
      <c r="C151" t="s">
        <v>107</v>
      </c>
      <c r="D151" t="str">
        <f>CONCATENATE("0040034012","")</f>
        <v>0040034012</v>
      </c>
      <c r="E151" t="str">
        <f>CONCATENATE("0020508003160       ","")</f>
        <v>0020508003160       </v>
      </c>
      <c r="F151" t="str">
        <f>CONCATENATE("1767415","")</f>
        <v>1767415</v>
      </c>
      <c r="G151" t="s">
        <v>342</v>
      </c>
      <c r="H151" t="s">
        <v>345</v>
      </c>
      <c r="I151" t="s">
        <v>346</v>
      </c>
      <c r="J151" t="str">
        <f t="shared" si="20"/>
        <v>080205</v>
      </c>
      <c r="K151" t="s">
        <v>21</v>
      </c>
      <c r="L151" t="s">
        <v>22</v>
      </c>
      <c r="M151" t="str">
        <f t="shared" si="22"/>
        <v>1</v>
      </c>
      <c r="O151" t="str">
        <f>CONCATENATE("1 ","")</f>
        <v>1 </v>
      </c>
      <c r="P151">
        <v>16.25</v>
      </c>
      <c r="Q151" t="s">
        <v>23</v>
      </c>
    </row>
    <row r="152" spans="1:17" ht="15">
      <c r="A152" t="s">
        <v>17</v>
      </c>
      <c r="B152" s="1">
        <v>41807</v>
      </c>
      <c r="C152" t="s">
        <v>107</v>
      </c>
      <c r="D152" t="str">
        <f>CONCATENATE("0040035691","")</f>
        <v>0040035691</v>
      </c>
      <c r="E152" t="str">
        <f>CONCATENATE("0020510000491       ","")</f>
        <v>0020510000491       </v>
      </c>
      <c r="F152" t="str">
        <f>CONCATENATE("606676810","")</f>
        <v>606676810</v>
      </c>
      <c r="G152" t="s">
        <v>347</v>
      </c>
      <c r="H152" t="s">
        <v>348</v>
      </c>
      <c r="I152" t="s">
        <v>349</v>
      </c>
      <c r="J152" t="str">
        <f t="shared" si="20"/>
        <v>080205</v>
      </c>
      <c r="K152" t="s">
        <v>21</v>
      </c>
      <c r="L152" t="s">
        <v>22</v>
      </c>
      <c r="M152" t="str">
        <f t="shared" si="22"/>
        <v>1</v>
      </c>
      <c r="O152" t="str">
        <f>CONCATENATE("1 ","")</f>
        <v>1 </v>
      </c>
      <c r="P152">
        <v>82.6</v>
      </c>
      <c r="Q152" t="s">
        <v>23</v>
      </c>
    </row>
    <row r="153" spans="1:17" ht="15">
      <c r="A153" t="s">
        <v>17</v>
      </c>
      <c r="B153" s="1">
        <v>41807</v>
      </c>
      <c r="C153" t="s">
        <v>107</v>
      </c>
      <c r="D153" t="str">
        <f>CONCATENATE("0130018180","")</f>
        <v>0130018180</v>
      </c>
      <c r="E153" t="str">
        <f>CONCATENATE("0020512001110       ","")</f>
        <v>0020512001110       </v>
      </c>
      <c r="F153" t="str">
        <f>CONCATENATE("90500852","")</f>
        <v>90500852</v>
      </c>
      <c r="G153" t="s">
        <v>350</v>
      </c>
      <c r="H153" t="s">
        <v>351</v>
      </c>
      <c r="I153" t="s">
        <v>352</v>
      </c>
      <c r="J153" t="str">
        <f t="shared" si="20"/>
        <v>080205</v>
      </c>
      <c r="K153" t="s">
        <v>21</v>
      </c>
      <c r="L153" t="s">
        <v>22</v>
      </c>
      <c r="M153" t="str">
        <f t="shared" si="22"/>
        <v>1</v>
      </c>
      <c r="O153" t="str">
        <f>CONCATENATE("1 ","")</f>
        <v>1 </v>
      </c>
      <c r="P153">
        <v>12.65</v>
      </c>
      <c r="Q153" t="s">
        <v>23</v>
      </c>
    </row>
    <row r="154" spans="1:17" ht="15">
      <c r="A154" t="s">
        <v>17</v>
      </c>
      <c r="B154" s="1">
        <v>41807</v>
      </c>
      <c r="C154" t="s">
        <v>107</v>
      </c>
      <c r="D154" t="str">
        <f>CONCATENATE("0130021281","")</f>
        <v>0130021281</v>
      </c>
      <c r="E154" t="str">
        <f>CONCATENATE("0020513002075       ","")</f>
        <v>0020513002075       </v>
      </c>
      <c r="F154" t="str">
        <f>CONCATENATE("1938787","")</f>
        <v>1938787</v>
      </c>
      <c r="G154" t="s">
        <v>353</v>
      </c>
      <c r="H154" t="s">
        <v>354</v>
      </c>
      <c r="I154" t="s">
        <v>355</v>
      </c>
      <c r="J154" t="str">
        <f t="shared" si="20"/>
        <v>080205</v>
      </c>
      <c r="K154" t="s">
        <v>21</v>
      </c>
      <c r="L154" t="s">
        <v>22</v>
      </c>
      <c r="M154" t="str">
        <f t="shared" si="22"/>
        <v>1</v>
      </c>
      <c r="O154" t="str">
        <f>CONCATENATE("7 ","")</f>
        <v>7 </v>
      </c>
      <c r="P154">
        <v>46.75</v>
      </c>
      <c r="Q154" t="s">
        <v>23</v>
      </c>
    </row>
    <row r="155" spans="1:17" ht="15">
      <c r="A155" t="s">
        <v>17</v>
      </c>
      <c r="B155" s="1">
        <v>41807</v>
      </c>
      <c r="C155" t="s">
        <v>107</v>
      </c>
      <c r="D155" t="str">
        <f>CONCATENATE("0130018634","")</f>
        <v>0130018634</v>
      </c>
      <c r="E155" t="str">
        <f>CONCATENATE("0020513003090       ","")</f>
        <v>0020513003090       </v>
      </c>
      <c r="F155" t="str">
        <f>CONCATENATE("90500928","")</f>
        <v>90500928</v>
      </c>
      <c r="G155" t="s">
        <v>353</v>
      </c>
      <c r="H155" t="s">
        <v>356</v>
      </c>
      <c r="I155" t="s">
        <v>357</v>
      </c>
      <c r="J155" t="str">
        <f t="shared" si="20"/>
        <v>080205</v>
      </c>
      <c r="K155" t="s">
        <v>21</v>
      </c>
      <c r="L155" t="s">
        <v>22</v>
      </c>
      <c r="M155" t="str">
        <f t="shared" si="22"/>
        <v>1</v>
      </c>
      <c r="O155" t="str">
        <f aca="true" t="shared" si="23" ref="O155:O160">CONCATENATE("1 ","")</f>
        <v>1 </v>
      </c>
      <c r="P155">
        <v>11.95</v>
      </c>
      <c r="Q155" t="s">
        <v>23</v>
      </c>
    </row>
    <row r="156" spans="1:17" ht="15">
      <c r="A156" t="s">
        <v>17</v>
      </c>
      <c r="B156" s="1">
        <v>41807</v>
      </c>
      <c r="C156" t="s">
        <v>107</v>
      </c>
      <c r="D156" t="str">
        <f>CONCATENATE("0040035070","")</f>
        <v>0040035070</v>
      </c>
      <c r="E156" t="str">
        <f>CONCATENATE("0020514000314       ","")</f>
        <v>0020514000314       </v>
      </c>
      <c r="F156" t="str">
        <f>CONCATENATE("90500782","")</f>
        <v>90500782</v>
      </c>
      <c r="G156" t="s">
        <v>358</v>
      </c>
      <c r="H156" t="s">
        <v>359</v>
      </c>
      <c r="I156" t="s">
        <v>360</v>
      </c>
      <c r="J156" t="str">
        <f t="shared" si="20"/>
        <v>080205</v>
      </c>
      <c r="K156" t="s">
        <v>21</v>
      </c>
      <c r="L156" t="s">
        <v>22</v>
      </c>
      <c r="M156" t="str">
        <f t="shared" si="22"/>
        <v>1</v>
      </c>
      <c r="O156" t="str">
        <f t="shared" si="23"/>
        <v>1 </v>
      </c>
      <c r="P156">
        <v>171.15</v>
      </c>
      <c r="Q156" t="s">
        <v>23</v>
      </c>
    </row>
    <row r="157" spans="1:17" ht="15">
      <c r="A157" t="s">
        <v>17</v>
      </c>
      <c r="B157" s="1">
        <v>41807</v>
      </c>
      <c r="C157" t="s">
        <v>107</v>
      </c>
      <c r="D157" t="str">
        <f>CONCATENATE("0130018718","")</f>
        <v>0130018718</v>
      </c>
      <c r="E157" t="str">
        <f>CONCATENATE("0020514001420       ","")</f>
        <v>0020514001420       </v>
      </c>
      <c r="F157" t="str">
        <f>CONCATENATE("90601603","")</f>
        <v>90601603</v>
      </c>
      <c r="G157" t="s">
        <v>358</v>
      </c>
      <c r="H157" t="s">
        <v>361</v>
      </c>
      <c r="I157" t="s">
        <v>362</v>
      </c>
      <c r="J157" t="str">
        <f t="shared" si="20"/>
        <v>080205</v>
      </c>
      <c r="K157" t="s">
        <v>21</v>
      </c>
      <c r="L157" t="s">
        <v>22</v>
      </c>
      <c r="M157" t="str">
        <f t="shared" si="22"/>
        <v>1</v>
      </c>
      <c r="O157" t="str">
        <f t="shared" si="23"/>
        <v>1 </v>
      </c>
      <c r="P157">
        <v>15.1</v>
      </c>
      <c r="Q157" t="s">
        <v>23</v>
      </c>
    </row>
    <row r="158" spans="1:17" ht="15">
      <c r="A158" t="s">
        <v>17</v>
      </c>
      <c r="B158" s="1">
        <v>41807</v>
      </c>
      <c r="C158" t="s">
        <v>107</v>
      </c>
      <c r="D158" t="str">
        <f>CONCATENATE("0130018708","")</f>
        <v>0130018708</v>
      </c>
      <c r="E158" t="str">
        <f>CONCATENATE("0020514002050       ","")</f>
        <v>0020514002050       </v>
      </c>
      <c r="F158" t="str">
        <f>CONCATENATE("90500210","")</f>
        <v>90500210</v>
      </c>
      <c r="G158" t="s">
        <v>358</v>
      </c>
      <c r="H158" t="s">
        <v>363</v>
      </c>
      <c r="I158" t="s">
        <v>362</v>
      </c>
      <c r="J158" t="str">
        <f t="shared" si="20"/>
        <v>080205</v>
      </c>
      <c r="K158" t="s">
        <v>21</v>
      </c>
      <c r="L158" t="s">
        <v>22</v>
      </c>
      <c r="M158" t="str">
        <f t="shared" si="22"/>
        <v>1</v>
      </c>
      <c r="O158" t="str">
        <f t="shared" si="23"/>
        <v>1 </v>
      </c>
      <c r="P158">
        <v>18.55</v>
      </c>
      <c r="Q158" t="s">
        <v>23</v>
      </c>
    </row>
    <row r="159" spans="1:17" ht="15">
      <c r="A159" t="s">
        <v>17</v>
      </c>
      <c r="B159" s="1">
        <v>41807</v>
      </c>
      <c r="C159" t="s">
        <v>107</v>
      </c>
      <c r="D159" t="str">
        <f>CONCATENATE("0130018706","")</f>
        <v>0130018706</v>
      </c>
      <c r="E159" t="str">
        <f>CONCATENATE("0020514002120       ","")</f>
        <v>0020514002120       </v>
      </c>
      <c r="F159" t="str">
        <f>CONCATENATE("90500217","")</f>
        <v>90500217</v>
      </c>
      <c r="G159" t="s">
        <v>358</v>
      </c>
      <c r="H159" t="s">
        <v>364</v>
      </c>
      <c r="I159" t="s">
        <v>362</v>
      </c>
      <c r="J159" t="str">
        <f t="shared" si="20"/>
        <v>080205</v>
      </c>
      <c r="K159" t="s">
        <v>21</v>
      </c>
      <c r="L159" t="s">
        <v>22</v>
      </c>
      <c r="M159" t="str">
        <f t="shared" si="22"/>
        <v>1</v>
      </c>
      <c r="O159" t="str">
        <f t="shared" si="23"/>
        <v>1 </v>
      </c>
      <c r="P159">
        <v>11.9</v>
      </c>
      <c r="Q159" t="s">
        <v>23</v>
      </c>
    </row>
    <row r="160" spans="1:17" ht="15">
      <c r="A160" t="s">
        <v>17</v>
      </c>
      <c r="B160" s="1">
        <v>41807</v>
      </c>
      <c r="C160" t="s">
        <v>107</v>
      </c>
      <c r="D160" t="str">
        <f>CONCATENATE("0130018764","")</f>
        <v>0130018764</v>
      </c>
      <c r="E160" t="str">
        <f>CONCATENATE("0020515002160       ","")</f>
        <v>0020515002160       </v>
      </c>
      <c r="F160" t="str">
        <f>CONCATENATE("90601811","")</f>
        <v>90601811</v>
      </c>
      <c r="G160" t="s">
        <v>365</v>
      </c>
      <c r="H160" t="s">
        <v>366</v>
      </c>
      <c r="I160" t="s">
        <v>367</v>
      </c>
      <c r="J160" t="str">
        <f t="shared" si="20"/>
        <v>080205</v>
      </c>
      <c r="K160" t="s">
        <v>21</v>
      </c>
      <c r="L160" t="s">
        <v>22</v>
      </c>
      <c r="M160" t="str">
        <f t="shared" si="22"/>
        <v>1</v>
      </c>
      <c r="O160" t="str">
        <f t="shared" si="23"/>
        <v>1 </v>
      </c>
      <c r="P160">
        <v>21.7</v>
      </c>
      <c r="Q160" t="s">
        <v>23</v>
      </c>
    </row>
    <row r="161" spans="1:17" ht="15">
      <c r="A161" t="s">
        <v>17</v>
      </c>
      <c r="B161" s="1">
        <v>41807</v>
      </c>
      <c r="C161" t="s">
        <v>107</v>
      </c>
      <c r="D161" t="str">
        <f>CONCATENATE("0130018277","")</f>
        <v>0130018277</v>
      </c>
      <c r="E161" t="str">
        <f>CONCATENATE("0020516001380       ","")</f>
        <v>0020516001380       </v>
      </c>
      <c r="F161" t="str">
        <f>CONCATENATE("90500752","")</f>
        <v>90500752</v>
      </c>
      <c r="G161" t="s">
        <v>368</v>
      </c>
      <c r="H161" t="s">
        <v>369</v>
      </c>
      <c r="I161" t="s">
        <v>370</v>
      </c>
      <c r="J161" t="str">
        <f t="shared" si="20"/>
        <v>080205</v>
      </c>
      <c r="K161" t="s">
        <v>21</v>
      </c>
      <c r="L161" t="s">
        <v>22</v>
      </c>
      <c r="M161" t="str">
        <f t="shared" si="22"/>
        <v>1</v>
      </c>
      <c r="O161" t="str">
        <f>CONCATENATE("2 ","")</f>
        <v>2 </v>
      </c>
      <c r="P161">
        <v>18.25</v>
      </c>
      <c r="Q161" t="s">
        <v>23</v>
      </c>
    </row>
    <row r="162" spans="1:17" ht="15">
      <c r="A162" t="s">
        <v>17</v>
      </c>
      <c r="B162" s="1">
        <v>41807</v>
      </c>
      <c r="C162" t="s">
        <v>107</v>
      </c>
      <c r="D162" t="str">
        <f>CONCATENATE("0130016799","")</f>
        <v>0130016799</v>
      </c>
      <c r="E162" t="str">
        <f>CONCATENATE("0020520000800       ","")</f>
        <v>0020520000800       </v>
      </c>
      <c r="F162" t="str">
        <f>CONCATENATE("605619474","")</f>
        <v>605619474</v>
      </c>
      <c r="G162" t="s">
        <v>108</v>
      </c>
      <c r="H162" t="s">
        <v>371</v>
      </c>
      <c r="I162" t="s">
        <v>372</v>
      </c>
      <c r="J162" t="str">
        <f t="shared" si="20"/>
        <v>080205</v>
      </c>
      <c r="K162" t="s">
        <v>21</v>
      </c>
      <c r="L162" t="s">
        <v>22</v>
      </c>
      <c r="M162" t="str">
        <f t="shared" si="22"/>
        <v>1</v>
      </c>
      <c r="O162" t="str">
        <f aca="true" t="shared" si="24" ref="O162:O176">CONCATENATE("1 ","")</f>
        <v>1 </v>
      </c>
      <c r="P162">
        <v>14.15</v>
      </c>
      <c r="Q162" t="s">
        <v>23</v>
      </c>
    </row>
    <row r="163" spans="1:17" ht="15">
      <c r="A163" t="s">
        <v>17</v>
      </c>
      <c r="B163" s="1">
        <v>41807</v>
      </c>
      <c r="C163" t="s">
        <v>107</v>
      </c>
      <c r="D163" t="str">
        <f>CONCATENATE("0130001599","")</f>
        <v>0130001599</v>
      </c>
      <c r="E163" t="str">
        <f>CONCATENATE("0020525000690       ","")</f>
        <v>0020525000690       </v>
      </c>
      <c r="F163" t="str">
        <f>CONCATENATE("605397575","")</f>
        <v>605397575</v>
      </c>
      <c r="G163" t="s">
        <v>373</v>
      </c>
      <c r="H163" t="s">
        <v>374</v>
      </c>
      <c r="I163" t="s">
        <v>375</v>
      </c>
      <c r="J163" t="str">
        <f t="shared" si="20"/>
        <v>080205</v>
      </c>
      <c r="K163" t="s">
        <v>21</v>
      </c>
      <c r="L163" t="s">
        <v>22</v>
      </c>
      <c r="M163" t="str">
        <f t="shared" si="22"/>
        <v>1</v>
      </c>
      <c r="O163" t="str">
        <f t="shared" si="24"/>
        <v>1 </v>
      </c>
      <c r="P163">
        <v>27.45</v>
      </c>
      <c r="Q163" t="s">
        <v>23</v>
      </c>
    </row>
    <row r="164" spans="1:17" ht="15">
      <c r="A164" t="s">
        <v>17</v>
      </c>
      <c r="B164" s="1">
        <v>41807</v>
      </c>
      <c r="C164" t="s">
        <v>107</v>
      </c>
      <c r="D164" t="str">
        <f>CONCATENATE("0130001614","")</f>
        <v>0130001614</v>
      </c>
      <c r="E164" t="str">
        <f>CONCATENATE("0020525001060       ","")</f>
        <v>0020525001060       </v>
      </c>
      <c r="F164" t="str">
        <f>CONCATENATE("605397559","")</f>
        <v>605397559</v>
      </c>
      <c r="G164" t="s">
        <v>373</v>
      </c>
      <c r="H164" t="s">
        <v>376</v>
      </c>
      <c r="I164" t="s">
        <v>375</v>
      </c>
      <c r="J164" t="str">
        <f t="shared" si="20"/>
        <v>080205</v>
      </c>
      <c r="K164" t="s">
        <v>21</v>
      </c>
      <c r="L164" t="s">
        <v>22</v>
      </c>
      <c r="M164" t="str">
        <f t="shared" si="22"/>
        <v>1</v>
      </c>
      <c r="O164" t="str">
        <f t="shared" si="24"/>
        <v>1 </v>
      </c>
      <c r="P164">
        <v>18</v>
      </c>
      <c r="Q164" t="s">
        <v>23</v>
      </c>
    </row>
    <row r="165" spans="1:17" ht="15">
      <c r="A165" t="s">
        <v>17</v>
      </c>
      <c r="B165" s="1">
        <v>41807</v>
      </c>
      <c r="C165" t="s">
        <v>107</v>
      </c>
      <c r="D165" t="str">
        <f>CONCATENATE("0130001626","")</f>
        <v>0130001626</v>
      </c>
      <c r="E165" t="str">
        <f>CONCATENATE("0020525001790       ","")</f>
        <v>0020525001790       </v>
      </c>
      <c r="F165" t="str">
        <f>CONCATENATE("0606030697","")</f>
        <v>0606030697</v>
      </c>
      <c r="G165" t="s">
        <v>373</v>
      </c>
      <c r="H165" t="s">
        <v>377</v>
      </c>
      <c r="I165" t="s">
        <v>378</v>
      </c>
      <c r="J165" t="str">
        <f t="shared" si="20"/>
        <v>080205</v>
      </c>
      <c r="K165" t="s">
        <v>21</v>
      </c>
      <c r="L165" t="s">
        <v>22</v>
      </c>
      <c r="M165" t="str">
        <f t="shared" si="22"/>
        <v>1</v>
      </c>
      <c r="O165" t="str">
        <f t="shared" si="24"/>
        <v>1 </v>
      </c>
      <c r="P165">
        <v>36.9</v>
      </c>
      <c r="Q165" t="s">
        <v>23</v>
      </c>
    </row>
    <row r="166" spans="1:17" ht="15">
      <c r="A166" t="s">
        <v>17</v>
      </c>
      <c r="B166" s="1">
        <v>41807</v>
      </c>
      <c r="C166" t="s">
        <v>100</v>
      </c>
      <c r="D166" t="str">
        <f>CONCATENATE("0130015460","")</f>
        <v>0130015460</v>
      </c>
      <c r="E166" t="str">
        <f>CONCATENATE("0020701000228       ","")</f>
        <v>0020701000228       </v>
      </c>
      <c r="F166" t="str">
        <f>CONCATENATE("605289965","")</f>
        <v>605289965</v>
      </c>
      <c r="G166" t="s">
        <v>379</v>
      </c>
      <c r="H166" t="s">
        <v>380</v>
      </c>
      <c r="I166" t="s">
        <v>381</v>
      </c>
      <c r="J166" t="str">
        <f aca="true" t="shared" si="25" ref="J166:J176">CONCATENATE("080207","")</f>
        <v>080207</v>
      </c>
      <c r="K166" t="s">
        <v>21</v>
      </c>
      <c r="L166" t="s">
        <v>22</v>
      </c>
      <c r="M166" t="str">
        <f t="shared" si="22"/>
        <v>1</v>
      </c>
      <c r="O166" t="str">
        <f t="shared" si="24"/>
        <v>1 </v>
      </c>
      <c r="P166">
        <v>22</v>
      </c>
      <c r="Q166" t="s">
        <v>23</v>
      </c>
    </row>
    <row r="167" spans="1:17" ht="15">
      <c r="A167" t="s">
        <v>17</v>
      </c>
      <c r="B167" s="1">
        <v>41807</v>
      </c>
      <c r="C167" t="s">
        <v>100</v>
      </c>
      <c r="D167" t="str">
        <f>CONCATENATE("0130012913","")</f>
        <v>0130012913</v>
      </c>
      <c r="E167" t="str">
        <f>CONCATENATE("0020701000235       ","")</f>
        <v>0020701000235       </v>
      </c>
      <c r="F167" t="str">
        <f>CONCATENATE("00000329612","")</f>
        <v>00000329612</v>
      </c>
      <c r="G167" t="s">
        <v>379</v>
      </c>
      <c r="H167" t="s">
        <v>382</v>
      </c>
      <c r="I167" t="s">
        <v>383</v>
      </c>
      <c r="J167" t="str">
        <f t="shared" si="25"/>
        <v>080207</v>
      </c>
      <c r="K167" t="s">
        <v>21</v>
      </c>
      <c r="L167" t="s">
        <v>22</v>
      </c>
      <c r="M167" t="str">
        <f t="shared" si="22"/>
        <v>1</v>
      </c>
      <c r="O167" t="str">
        <f t="shared" si="24"/>
        <v>1 </v>
      </c>
      <c r="P167">
        <v>16.6</v>
      </c>
      <c r="Q167" t="s">
        <v>23</v>
      </c>
    </row>
    <row r="168" spans="1:17" ht="15">
      <c r="A168" t="s">
        <v>17</v>
      </c>
      <c r="B168" s="1">
        <v>41807</v>
      </c>
      <c r="C168" t="s">
        <v>100</v>
      </c>
      <c r="D168" t="str">
        <f>CONCATENATE("0130019677","")</f>
        <v>0130019677</v>
      </c>
      <c r="E168" t="str">
        <f>CONCATENATE("0020703000439       ","")</f>
        <v>0020703000439       </v>
      </c>
      <c r="F168" t="str">
        <f>CONCATENATE("605932892","")</f>
        <v>605932892</v>
      </c>
      <c r="G168" t="s">
        <v>379</v>
      </c>
      <c r="H168" t="s">
        <v>384</v>
      </c>
      <c r="I168" t="s">
        <v>385</v>
      </c>
      <c r="J168" t="str">
        <f t="shared" si="25"/>
        <v>080207</v>
      </c>
      <c r="K168" t="s">
        <v>21</v>
      </c>
      <c r="L168" t="s">
        <v>22</v>
      </c>
      <c r="M168" t="str">
        <f t="shared" si="22"/>
        <v>1</v>
      </c>
      <c r="O168" t="str">
        <f t="shared" si="24"/>
        <v>1 </v>
      </c>
      <c r="P168">
        <v>33.55</v>
      </c>
      <c r="Q168" t="s">
        <v>23</v>
      </c>
    </row>
    <row r="169" spans="1:17" ht="15">
      <c r="A169" t="s">
        <v>17</v>
      </c>
      <c r="B169" s="1">
        <v>41807</v>
      </c>
      <c r="C169" t="s">
        <v>100</v>
      </c>
      <c r="D169" t="str">
        <f>CONCATENATE("0130020290","")</f>
        <v>0130020290</v>
      </c>
      <c r="E169" t="str">
        <f>CONCATENATE("0020704000032       ","")</f>
        <v>0020704000032       </v>
      </c>
      <c r="F169" t="str">
        <f>CONCATENATE("605939720","")</f>
        <v>605939720</v>
      </c>
      <c r="G169" t="s">
        <v>379</v>
      </c>
      <c r="H169" t="s">
        <v>386</v>
      </c>
      <c r="I169" t="s">
        <v>387</v>
      </c>
      <c r="J169" t="str">
        <f t="shared" si="25"/>
        <v>080207</v>
      </c>
      <c r="K169" t="s">
        <v>21</v>
      </c>
      <c r="L169" t="s">
        <v>22</v>
      </c>
      <c r="M169" t="str">
        <f t="shared" si="22"/>
        <v>1</v>
      </c>
      <c r="O169" t="str">
        <f t="shared" si="24"/>
        <v>1 </v>
      </c>
      <c r="P169">
        <v>33.05</v>
      </c>
      <c r="Q169" t="s">
        <v>23</v>
      </c>
    </row>
    <row r="170" spans="1:17" ht="15">
      <c r="A170" t="s">
        <v>17</v>
      </c>
      <c r="B170" s="1">
        <v>41807</v>
      </c>
      <c r="C170" t="s">
        <v>100</v>
      </c>
      <c r="D170" t="str">
        <f>CONCATENATE("0130010013","")</f>
        <v>0130010013</v>
      </c>
      <c r="E170" t="str">
        <f>CONCATENATE("0020704000390       ","")</f>
        <v>0020704000390       </v>
      </c>
      <c r="F170" t="str">
        <f>CONCATENATE("605751030","")</f>
        <v>605751030</v>
      </c>
      <c r="G170" t="s">
        <v>379</v>
      </c>
      <c r="H170" t="s">
        <v>388</v>
      </c>
      <c r="I170" t="s">
        <v>389</v>
      </c>
      <c r="J170" t="str">
        <f t="shared" si="25"/>
        <v>080207</v>
      </c>
      <c r="K170" t="s">
        <v>21</v>
      </c>
      <c r="L170" t="s">
        <v>22</v>
      </c>
      <c r="M170" t="str">
        <f t="shared" si="22"/>
        <v>1</v>
      </c>
      <c r="O170" t="str">
        <f t="shared" si="24"/>
        <v>1 </v>
      </c>
      <c r="P170">
        <v>11.8</v>
      </c>
      <c r="Q170" t="s">
        <v>23</v>
      </c>
    </row>
    <row r="171" spans="1:17" ht="15">
      <c r="A171" t="s">
        <v>17</v>
      </c>
      <c r="B171" s="1">
        <v>41807</v>
      </c>
      <c r="C171" t="s">
        <v>100</v>
      </c>
      <c r="D171" t="str">
        <f>CONCATENATE("0130009033","")</f>
        <v>0130009033</v>
      </c>
      <c r="E171" t="str">
        <f>CONCATENATE("0020704000462       ","")</f>
        <v>0020704000462       </v>
      </c>
      <c r="F171" t="str">
        <f>CONCATENATE("605354669","")</f>
        <v>605354669</v>
      </c>
      <c r="G171" t="s">
        <v>379</v>
      </c>
      <c r="H171" t="s">
        <v>388</v>
      </c>
      <c r="I171" t="s">
        <v>390</v>
      </c>
      <c r="J171" t="str">
        <f t="shared" si="25"/>
        <v>080207</v>
      </c>
      <c r="K171" t="s">
        <v>21</v>
      </c>
      <c r="L171" t="s">
        <v>22</v>
      </c>
      <c r="M171" t="str">
        <f t="shared" si="22"/>
        <v>1</v>
      </c>
      <c r="O171" t="str">
        <f t="shared" si="24"/>
        <v>1 </v>
      </c>
      <c r="P171">
        <v>48.45</v>
      </c>
      <c r="Q171" t="s">
        <v>23</v>
      </c>
    </row>
    <row r="172" spans="1:17" ht="15">
      <c r="A172" t="s">
        <v>17</v>
      </c>
      <c r="B172" s="1">
        <v>41807</v>
      </c>
      <c r="C172" t="s">
        <v>100</v>
      </c>
      <c r="D172" t="str">
        <f>CONCATENATE("0130016792","")</f>
        <v>0130016792</v>
      </c>
      <c r="E172" t="str">
        <f>CONCATENATE("0020704000478       ","")</f>
        <v>0020704000478       </v>
      </c>
      <c r="F172" t="str">
        <f>CONCATENATE("605621223","")</f>
        <v>605621223</v>
      </c>
      <c r="G172" t="s">
        <v>379</v>
      </c>
      <c r="H172" t="s">
        <v>391</v>
      </c>
      <c r="I172" t="s">
        <v>392</v>
      </c>
      <c r="J172" t="str">
        <f t="shared" si="25"/>
        <v>080207</v>
      </c>
      <c r="K172" t="s">
        <v>21</v>
      </c>
      <c r="L172" t="s">
        <v>22</v>
      </c>
      <c r="M172" t="str">
        <f t="shared" si="22"/>
        <v>1</v>
      </c>
      <c r="O172" t="str">
        <f t="shared" si="24"/>
        <v>1 </v>
      </c>
      <c r="P172">
        <v>11.4</v>
      </c>
      <c r="Q172" t="s">
        <v>23</v>
      </c>
    </row>
    <row r="173" spans="1:17" ht="15">
      <c r="A173" t="s">
        <v>17</v>
      </c>
      <c r="B173" s="1">
        <v>41807</v>
      </c>
      <c r="C173" t="s">
        <v>100</v>
      </c>
      <c r="D173" t="str">
        <f>CONCATENATE("0130011093","")</f>
        <v>0130011093</v>
      </c>
      <c r="E173" t="str">
        <f>CONCATENATE("0020721000322       ","")</f>
        <v>0020721000322       </v>
      </c>
      <c r="F173" t="str">
        <f>CONCATENATE("0605770978","")</f>
        <v>0605770978</v>
      </c>
      <c r="G173" t="s">
        <v>393</v>
      </c>
      <c r="H173" t="s">
        <v>394</v>
      </c>
      <c r="I173" t="s">
        <v>395</v>
      </c>
      <c r="J173" t="str">
        <f t="shared" si="25"/>
        <v>080207</v>
      </c>
      <c r="K173" t="s">
        <v>21</v>
      </c>
      <c r="L173" t="s">
        <v>22</v>
      </c>
      <c r="M173" t="str">
        <f t="shared" si="22"/>
        <v>1</v>
      </c>
      <c r="O173" t="str">
        <f t="shared" si="24"/>
        <v>1 </v>
      </c>
      <c r="P173">
        <v>11.35</v>
      </c>
      <c r="Q173" t="s">
        <v>23</v>
      </c>
    </row>
    <row r="174" spans="1:17" ht="15">
      <c r="A174" t="s">
        <v>17</v>
      </c>
      <c r="B174" s="1">
        <v>41807</v>
      </c>
      <c r="C174" t="s">
        <v>100</v>
      </c>
      <c r="D174" t="str">
        <f>CONCATENATE("0130020415","")</f>
        <v>0130020415</v>
      </c>
      <c r="E174" t="str">
        <f>CONCATENATE("0020722000168       ","")</f>
        <v>0020722000168       </v>
      </c>
      <c r="F174" t="str">
        <f>CONCATENATE("1605042","")</f>
        <v>1605042</v>
      </c>
      <c r="G174" t="s">
        <v>393</v>
      </c>
      <c r="H174" t="s">
        <v>396</v>
      </c>
      <c r="I174" t="s">
        <v>397</v>
      </c>
      <c r="J174" t="str">
        <f t="shared" si="25"/>
        <v>080207</v>
      </c>
      <c r="K174" t="s">
        <v>21</v>
      </c>
      <c r="L174" t="s">
        <v>22</v>
      </c>
      <c r="M174" t="str">
        <f aca="true" t="shared" si="26" ref="M174:M191">CONCATENATE("1","")</f>
        <v>1</v>
      </c>
      <c r="O174" t="str">
        <f t="shared" si="24"/>
        <v>1 </v>
      </c>
      <c r="P174">
        <v>28.4</v>
      </c>
      <c r="Q174" t="s">
        <v>23</v>
      </c>
    </row>
    <row r="175" spans="1:17" ht="15">
      <c r="A175" t="s">
        <v>17</v>
      </c>
      <c r="B175" s="1">
        <v>41807</v>
      </c>
      <c r="C175" t="s">
        <v>100</v>
      </c>
      <c r="D175" t="str">
        <f>CONCATENATE("0130017125","")</f>
        <v>0130017125</v>
      </c>
      <c r="E175" t="str">
        <f>CONCATENATE("0020722000172       ","")</f>
        <v>0020722000172       </v>
      </c>
      <c r="F175" t="str">
        <f>CONCATENATE("605753972","")</f>
        <v>605753972</v>
      </c>
      <c r="G175" t="s">
        <v>393</v>
      </c>
      <c r="H175" t="s">
        <v>398</v>
      </c>
      <c r="I175" t="s">
        <v>399</v>
      </c>
      <c r="J175" t="str">
        <f t="shared" si="25"/>
        <v>080207</v>
      </c>
      <c r="K175" t="s">
        <v>21</v>
      </c>
      <c r="L175" t="s">
        <v>22</v>
      </c>
      <c r="M175" t="str">
        <f t="shared" si="26"/>
        <v>1</v>
      </c>
      <c r="O175" t="str">
        <f t="shared" si="24"/>
        <v>1 </v>
      </c>
      <c r="P175">
        <v>23.55</v>
      </c>
      <c r="Q175" t="s">
        <v>23</v>
      </c>
    </row>
    <row r="176" spans="1:17" ht="15">
      <c r="A176" t="s">
        <v>17</v>
      </c>
      <c r="B176" s="1">
        <v>41807</v>
      </c>
      <c r="C176" t="s">
        <v>100</v>
      </c>
      <c r="D176" t="str">
        <f>CONCATENATE("0130016419","")</f>
        <v>0130016419</v>
      </c>
      <c r="E176" t="str">
        <f>CONCATENATE("0020725000170       ","")</f>
        <v>0020725000170       </v>
      </c>
      <c r="F176" t="str">
        <f>CONCATENATE("763761","")</f>
        <v>763761</v>
      </c>
      <c r="G176" t="s">
        <v>400</v>
      </c>
      <c r="H176" t="s">
        <v>401</v>
      </c>
      <c r="I176" t="s">
        <v>402</v>
      </c>
      <c r="J176" t="str">
        <f t="shared" si="25"/>
        <v>080207</v>
      </c>
      <c r="K176" t="s">
        <v>21</v>
      </c>
      <c r="L176" t="s">
        <v>22</v>
      </c>
      <c r="M176" t="str">
        <f t="shared" si="26"/>
        <v>1</v>
      </c>
      <c r="O176" t="str">
        <f t="shared" si="24"/>
        <v>1 </v>
      </c>
      <c r="P176">
        <v>24.4</v>
      </c>
      <c r="Q176" t="s">
        <v>23</v>
      </c>
    </row>
    <row r="177" spans="1:17" ht="15">
      <c r="A177" t="s">
        <v>17</v>
      </c>
      <c r="B177" s="1">
        <v>41807</v>
      </c>
      <c r="C177" t="s">
        <v>107</v>
      </c>
      <c r="D177" t="str">
        <f>CONCATENATE("0130001913","")</f>
        <v>0130001913</v>
      </c>
      <c r="E177" t="str">
        <f>CONCATENATE("0020726001300       ","")</f>
        <v>0020726001300       </v>
      </c>
      <c r="F177" t="str">
        <f>CONCATENATE("605398597","")</f>
        <v>605398597</v>
      </c>
      <c r="G177" t="s">
        <v>400</v>
      </c>
      <c r="H177" t="s">
        <v>403</v>
      </c>
      <c r="I177" t="s">
        <v>404</v>
      </c>
      <c r="J177" t="str">
        <f>CONCATENATE("080205","")</f>
        <v>080205</v>
      </c>
      <c r="K177" t="s">
        <v>21</v>
      </c>
      <c r="L177" t="s">
        <v>22</v>
      </c>
      <c r="M177" t="str">
        <f t="shared" si="26"/>
        <v>1</v>
      </c>
      <c r="O177" t="str">
        <f>CONCATENATE("4 ","")</f>
        <v>4 </v>
      </c>
      <c r="P177">
        <v>35.6</v>
      </c>
      <c r="Q177" t="s">
        <v>23</v>
      </c>
    </row>
    <row r="178" spans="1:17" ht="15">
      <c r="A178" t="s">
        <v>17</v>
      </c>
      <c r="B178" s="1">
        <v>41807</v>
      </c>
      <c r="C178" t="s">
        <v>405</v>
      </c>
      <c r="D178" t="str">
        <f>CONCATENATE("0130021119","")</f>
        <v>0130021119</v>
      </c>
      <c r="E178" t="str">
        <f>CONCATENATE("0050100001400       ","")</f>
        <v>0050100001400       </v>
      </c>
      <c r="F178" t="str">
        <f>CONCATENATE("1940913","")</f>
        <v>1940913</v>
      </c>
      <c r="G178" t="s">
        <v>406</v>
      </c>
      <c r="H178" t="s">
        <v>407</v>
      </c>
      <c r="I178" t="s">
        <v>408</v>
      </c>
      <c r="J178" t="str">
        <f aca="true" t="shared" si="27" ref="J178:J204">CONCATENATE("080501","")</f>
        <v>080501</v>
      </c>
      <c r="K178" t="s">
        <v>21</v>
      </c>
      <c r="L178" t="s">
        <v>22</v>
      </c>
      <c r="M178" t="str">
        <f t="shared" si="26"/>
        <v>1</v>
      </c>
      <c r="O178" t="str">
        <f>CONCATENATE("1 ","")</f>
        <v>1 </v>
      </c>
      <c r="P178">
        <v>25.6</v>
      </c>
      <c r="Q178" t="s">
        <v>23</v>
      </c>
    </row>
    <row r="179" spans="1:17" ht="15">
      <c r="A179" t="s">
        <v>17</v>
      </c>
      <c r="B179" s="1">
        <v>41807</v>
      </c>
      <c r="C179" t="s">
        <v>405</v>
      </c>
      <c r="D179" t="str">
        <f>CONCATENATE("0130001938","")</f>
        <v>0130001938</v>
      </c>
      <c r="E179" t="str">
        <f>CONCATENATE("0050101000165       ","")</f>
        <v>0050101000165       </v>
      </c>
      <c r="F179" t="str">
        <f>CONCATENATE("605121227","")</f>
        <v>605121227</v>
      </c>
      <c r="G179" t="s">
        <v>406</v>
      </c>
      <c r="H179" t="s">
        <v>409</v>
      </c>
      <c r="I179" t="s">
        <v>410</v>
      </c>
      <c r="J179" t="str">
        <f t="shared" si="27"/>
        <v>080501</v>
      </c>
      <c r="K179" t="s">
        <v>21</v>
      </c>
      <c r="L179" t="s">
        <v>22</v>
      </c>
      <c r="M179" t="str">
        <f t="shared" si="26"/>
        <v>1</v>
      </c>
      <c r="O179" t="str">
        <f>CONCATENATE("1 ","")</f>
        <v>1 </v>
      </c>
      <c r="P179">
        <v>18.85</v>
      </c>
      <c r="Q179" t="s">
        <v>23</v>
      </c>
    </row>
    <row r="180" spans="1:17" ht="15">
      <c r="A180" t="s">
        <v>17</v>
      </c>
      <c r="B180" s="1">
        <v>41807</v>
      </c>
      <c r="C180" t="s">
        <v>405</v>
      </c>
      <c r="D180" t="str">
        <f>CONCATENATE("0130001947","")</f>
        <v>0130001947</v>
      </c>
      <c r="E180" t="str">
        <f>CONCATENATE("0050101000220       ","")</f>
        <v>0050101000220       </v>
      </c>
      <c r="F180" t="str">
        <f>CONCATENATE("605121218","")</f>
        <v>605121218</v>
      </c>
      <c r="G180" t="s">
        <v>411</v>
      </c>
      <c r="H180" t="s">
        <v>412</v>
      </c>
      <c r="I180" t="s">
        <v>413</v>
      </c>
      <c r="J180" t="str">
        <f t="shared" si="27"/>
        <v>080501</v>
      </c>
      <c r="K180" t="s">
        <v>21</v>
      </c>
      <c r="L180" t="s">
        <v>22</v>
      </c>
      <c r="M180" t="str">
        <f t="shared" si="26"/>
        <v>1</v>
      </c>
      <c r="O180" t="str">
        <f>CONCATENATE("3 ","")</f>
        <v>3 </v>
      </c>
      <c r="P180">
        <v>2304.15</v>
      </c>
      <c r="Q180" t="s">
        <v>23</v>
      </c>
    </row>
    <row r="181" spans="1:17" ht="15">
      <c r="A181" t="s">
        <v>17</v>
      </c>
      <c r="B181" s="1">
        <v>41807</v>
      </c>
      <c r="C181" t="s">
        <v>405</v>
      </c>
      <c r="D181" t="str">
        <f>CONCATENATE("0130013814","")</f>
        <v>0130013814</v>
      </c>
      <c r="E181" t="str">
        <f>CONCATENATE("0050101000285       ","")</f>
        <v>0050101000285       </v>
      </c>
      <c r="F181" t="str">
        <f>CONCATENATE("606670452","")</f>
        <v>606670452</v>
      </c>
      <c r="G181" t="s">
        <v>414</v>
      </c>
      <c r="H181" t="s">
        <v>415</v>
      </c>
      <c r="I181" t="s">
        <v>416</v>
      </c>
      <c r="J181" t="str">
        <f t="shared" si="27"/>
        <v>080501</v>
      </c>
      <c r="K181" t="s">
        <v>21</v>
      </c>
      <c r="L181" t="s">
        <v>22</v>
      </c>
      <c r="M181" t="str">
        <f t="shared" si="26"/>
        <v>1</v>
      </c>
      <c r="O181" t="str">
        <f aca="true" t="shared" si="28" ref="O181:O204">CONCATENATE("1 ","")</f>
        <v>1 </v>
      </c>
      <c r="P181">
        <v>16.6</v>
      </c>
      <c r="Q181" t="s">
        <v>23</v>
      </c>
    </row>
    <row r="182" spans="1:17" ht="15">
      <c r="A182" t="s">
        <v>17</v>
      </c>
      <c r="B182" s="1">
        <v>41807</v>
      </c>
      <c r="C182" t="s">
        <v>405</v>
      </c>
      <c r="D182" t="str">
        <f>CONCATENATE("0130010751","")</f>
        <v>0130010751</v>
      </c>
      <c r="E182" t="str">
        <f>CONCATENATE("0050101000450       ","")</f>
        <v>0050101000450       </v>
      </c>
      <c r="F182" t="str">
        <f>CONCATENATE("605764299","")</f>
        <v>605764299</v>
      </c>
      <c r="G182" t="s">
        <v>411</v>
      </c>
      <c r="H182" t="s">
        <v>417</v>
      </c>
      <c r="I182" t="s">
        <v>418</v>
      </c>
      <c r="J182" t="str">
        <f t="shared" si="27"/>
        <v>080501</v>
      </c>
      <c r="K182" t="s">
        <v>21</v>
      </c>
      <c r="L182" t="s">
        <v>22</v>
      </c>
      <c r="M182" t="str">
        <f t="shared" si="26"/>
        <v>1</v>
      </c>
      <c r="O182" t="str">
        <f t="shared" si="28"/>
        <v>1 </v>
      </c>
      <c r="P182">
        <v>11.45</v>
      </c>
      <c r="Q182" t="s">
        <v>23</v>
      </c>
    </row>
    <row r="183" spans="1:17" ht="15">
      <c r="A183" t="s">
        <v>17</v>
      </c>
      <c r="B183" s="1">
        <v>41807</v>
      </c>
      <c r="C183" t="s">
        <v>405</v>
      </c>
      <c r="D183" t="str">
        <f>CONCATENATE("0130017023","")</f>
        <v>0130017023</v>
      </c>
      <c r="E183" t="str">
        <f>CONCATENATE("0050101000685       ","")</f>
        <v>0050101000685       </v>
      </c>
      <c r="F183" t="str">
        <f>CONCATENATE("605752100","")</f>
        <v>605752100</v>
      </c>
      <c r="G183" t="s">
        <v>414</v>
      </c>
      <c r="H183" t="s">
        <v>419</v>
      </c>
      <c r="I183" t="s">
        <v>420</v>
      </c>
      <c r="J183" t="str">
        <f t="shared" si="27"/>
        <v>080501</v>
      </c>
      <c r="K183" t="s">
        <v>21</v>
      </c>
      <c r="L183" t="s">
        <v>22</v>
      </c>
      <c r="M183" t="str">
        <f t="shared" si="26"/>
        <v>1</v>
      </c>
      <c r="O183" t="str">
        <f t="shared" si="28"/>
        <v>1 </v>
      </c>
      <c r="P183">
        <v>96.4</v>
      </c>
      <c r="Q183" t="s">
        <v>23</v>
      </c>
    </row>
    <row r="184" spans="1:17" ht="15">
      <c r="A184" t="s">
        <v>17</v>
      </c>
      <c r="B184" s="1">
        <v>41807</v>
      </c>
      <c r="C184" t="s">
        <v>405</v>
      </c>
      <c r="D184" t="str">
        <f>CONCATENATE("0130002031","")</f>
        <v>0130002031</v>
      </c>
      <c r="E184" t="str">
        <f>CONCATENATE("0050101000750       ","")</f>
        <v>0050101000750       </v>
      </c>
      <c r="F184" t="str">
        <f>CONCATENATE("605290790","")</f>
        <v>605290790</v>
      </c>
      <c r="G184" t="s">
        <v>411</v>
      </c>
      <c r="H184" t="s">
        <v>421</v>
      </c>
      <c r="I184" t="s">
        <v>422</v>
      </c>
      <c r="J184" t="str">
        <f t="shared" si="27"/>
        <v>080501</v>
      </c>
      <c r="K184" t="s">
        <v>21</v>
      </c>
      <c r="L184" t="s">
        <v>22</v>
      </c>
      <c r="M184" t="str">
        <f t="shared" si="26"/>
        <v>1</v>
      </c>
      <c r="O184" t="str">
        <f t="shared" si="28"/>
        <v>1 </v>
      </c>
      <c r="P184">
        <v>12.3</v>
      </c>
      <c r="Q184" t="s">
        <v>23</v>
      </c>
    </row>
    <row r="185" spans="1:17" ht="15">
      <c r="A185" t="s">
        <v>17</v>
      </c>
      <c r="B185" s="1">
        <v>41807</v>
      </c>
      <c r="C185" t="s">
        <v>405</v>
      </c>
      <c r="D185" t="str">
        <f>CONCATENATE("0130002041","")</f>
        <v>0130002041</v>
      </c>
      <c r="E185" t="str">
        <f>CONCATENATE("0050102000035       ","")</f>
        <v>0050102000035       </v>
      </c>
      <c r="F185" t="str">
        <f>CONCATENATE("606670446","")</f>
        <v>606670446</v>
      </c>
      <c r="G185" t="s">
        <v>406</v>
      </c>
      <c r="H185" t="s">
        <v>423</v>
      </c>
      <c r="I185" t="s">
        <v>424</v>
      </c>
      <c r="J185" t="str">
        <f t="shared" si="27"/>
        <v>080501</v>
      </c>
      <c r="K185" t="s">
        <v>21</v>
      </c>
      <c r="L185" t="s">
        <v>22</v>
      </c>
      <c r="M185" t="str">
        <f t="shared" si="26"/>
        <v>1</v>
      </c>
      <c r="O185" t="str">
        <f t="shared" si="28"/>
        <v>1 </v>
      </c>
      <c r="P185">
        <v>12.2</v>
      </c>
      <c r="Q185" t="s">
        <v>23</v>
      </c>
    </row>
    <row r="186" spans="1:17" ht="15">
      <c r="A186" t="s">
        <v>17</v>
      </c>
      <c r="B186" s="1">
        <v>41807</v>
      </c>
      <c r="C186" t="s">
        <v>405</v>
      </c>
      <c r="D186" t="str">
        <f>CONCATENATE("0040035670","")</f>
        <v>0040035670</v>
      </c>
      <c r="E186" t="str">
        <f>CONCATENATE("0050102000169       ","")</f>
        <v>0050102000169       </v>
      </c>
      <c r="F186" t="str">
        <f>CONCATENATE("606676824","")</f>
        <v>606676824</v>
      </c>
      <c r="G186" t="s">
        <v>414</v>
      </c>
      <c r="H186" t="s">
        <v>425</v>
      </c>
      <c r="I186" t="s">
        <v>426</v>
      </c>
      <c r="J186" t="str">
        <f t="shared" si="27"/>
        <v>080501</v>
      </c>
      <c r="K186" t="s">
        <v>21</v>
      </c>
      <c r="L186" t="s">
        <v>22</v>
      </c>
      <c r="M186" t="str">
        <f t="shared" si="26"/>
        <v>1</v>
      </c>
      <c r="O186" t="str">
        <f t="shared" si="28"/>
        <v>1 </v>
      </c>
      <c r="P186">
        <v>38.25</v>
      </c>
      <c r="Q186" t="s">
        <v>23</v>
      </c>
    </row>
    <row r="187" spans="1:17" ht="15">
      <c r="A187" t="s">
        <v>17</v>
      </c>
      <c r="B187" s="1">
        <v>41807</v>
      </c>
      <c r="C187" t="s">
        <v>405</v>
      </c>
      <c r="D187" t="str">
        <f>CONCATENATE("0130009239","")</f>
        <v>0130009239</v>
      </c>
      <c r="E187" t="str">
        <f>CONCATENATE("0050102000175       ","")</f>
        <v>0050102000175       </v>
      </c>
      <c r="F187" t="str">
        <f>CONCATENATE("605290803","")</f>
        <v>605290803</v>
      </c>
      <c r="G187" t="s">
        <v>414</v>
      </c>
      <c r="H187" t="s">
        <v>427</v>
      </c>
      <c r="I187" t="s">
        <v>428</v>
      </c>
      <c r="J187" t="str">
        <f t="shared" si="27"/>
        <v>080501</v>
      </c>
      <c r="K187" t="s">
        <v>21</v>
      </c>
      <c r="L187" t="s">
        <v>22</v>
      </c>
      <c r="M187" t="str">
        <f t="shared" si="26"/>
        <v>1</v>
      </c>
      <c r="O187" t="str">
        <f t="shared" si="28"/>
        <v>1 </v>
      </c>
      <c r="P187">
        <v>101.9</v>
      </c>
      <c r="Q187" t="s">
        <v>23</v>
      </c>
    </row>
    <row r="188" spans="1:17" ht="15">
      <c r="A188" t="s">
        <v>17</v>
      </c>
      <c r="B188" s="1">
        <v>41807</v>
      </c>
      <c r="C188" t="s">
        <v>405</v>
      </c>
      <c r="D188" t="str">
        <f>CONCATENATE("0130015135","")</f>
        <v>0130015135</v>
      </c>
      <c r="E188" t="str">
        <f>CONCATENATE("0050102000188       ","")</f>
        <v>0050102000188       </v>
      </c>
      <c r="F188" t="str">
        <f>CONCATENATE("1428283","")</f>
        <v>1428283</v>
      </c>
      <c r="G188" t="s">
        <v>414</v>
      </c>
      <c r="H188" t="s">
        <v>429</v>
      </c>
      <c r="I188" t="s">
        <v>204</v>
      </c>
      <c r="J188" t="str">
        <f t="shared" si="27"/>
        <v>080501</v>
      </c>
      <c r="K188" t="s">
        <v>21</v>
      </c>
      <c r="L188" t="s">
        <v>22</v>
      </c>
      <c r="M188" t="str">
        <f t="shared" si="26"/>
        <v>1</v>
      </c>
      <c r="O188" t="str">
        <f t="shared" si="28"/>
        <v>1 </v>
      </c>
      <c r="P188">
        <v>14.15</v>
      </c>
      <c r="Q188" t="s">
        <v>23</v>
      </c>
    </row>
    <row r="189" spans="1:17" ht="15">
      <c r="A189" t="s">
        <v>17</v>
      </c>
      <c r="B189" s="1">
        <v>41807</v>
      </c>
      <c r="C189" t="s">
        <v>405</v>
      </c>
      <c r="D189" t="str">
        <f>CONCATENATE("0130021283","")</f>
        <v>0130021283</v>
      </c>
      <c r="E189" t="str">
        <f>CONCATENATE("0050102000324       ","")</f>
        <v>0050102000324       </v>
      </c>
      <c r="F189" t="str">
        <f>CONCATENATE("1861751","")</f>
        <v>1861751</v>
      </c>
      <c r="G189" t="s">
        <v>406</v>
      </c>
      <c r="H189" t="s">
        <v>430</v>
      </c>
      <c r="I189" t="s">
        <v>431</v>
      </c>
      <c r="J189" t="str">
        <f t="shared" si="27"/>
        <v>080501</v>
      </c>
      <c r="K189" t="s">
        <v>21</v>
      </c>
      <c r="L189" t="s">
        <v>22</v>
      </c>
      <c r="M189" t="str">
        <f t="shared" si="26"/>
        <v>1</v>
      </c>
      <c r="O189" t="str">
        <f t="shared" si="28"/>
        <v>1 </v>
      </c>
      <c r="P189">
        <v>15.7</v>
      </c>
      <c r="Q189" t="s">
        <v>23</v>
      </c>
    </row>
    <row r="190" spans="1:17" ht="15">
      <c r="A190" t="s">
        <v>17</v>
      </c>
      <c r="B190" s="1">
        <v>41807</v>
      </c>
      <c r="C190" t="s">
        <v>405</v>
      </c>
      <c r="D190" t="str">
        <f>CONCATENATE("0040033586","")</f>
        <v>0040033586</v>
      </c>
      <c r="E190" t="str">
        <f>CONCATENATE("0050102000329       ","")</f>
        <v>0050102000329       </v>
      </c>
      <c r="F190" t="str">
        <f>CONCATENATE("1101","")</f>
        <v>1101</v>
      </c>
      <c r="G190" t="s">
        <v>406</v>
      </c>
      <c r="H190" t="s">
        <v>432</v>
      </c>
      <c r="I190" t="s">
        <v>433</v>
      </c>
      <c r="J190" t="str">
        <f t="shared" si="27"/>
        <v>080501</v>
      </c>
      <c r="K190" t="s">
        <v>21</v>
      </c>
      <c r="L190" t="s">
        <v>22</v>
      </c>
      <c r="M190" t="str">
        <f t="shared" si="26"/>
        <v>1</v>
      </c>
      <c r="O190" t="str">
        <f t="shared" si="28"/>
        <v>1 </v>
      </c>
      <c r="P190">
        <v>132.05</v>
      </c>
      <c r="Q190" t="s">
        <v>23</v>
      </c>
    </row>
    <row r="191" spans="1:17" ht="15">
      <c r="A191" t="s">
        <v>17</v>
      </c>
      <c r="B191" s="1">
        <v>41807</v>
      </c>
      <c r="C191" t="s">
        <v>405</v>
      </c>
      <c r="D191" t="str">
        <f>CONCATENATE("0130013117","")</f>
        <v>0130013117</v>
      </c>
      <c r="E191" t="str">
        <f>CONCATENATE("0050102000338       ","")</f>
        <v>0050102000338       </v>
      </c>
      <c r="F191" t="str">
        <f>CONCATENATE("606603462","")</f>
        <v>606603462</v>
      </c>
      <c r="G191" t="s">
        <v>406</v>
      </c>
      <c r="H191" t="s">
        <v>434</v>
      </c>
      <c r="I191" t="s">
        <v>435</v>
      </c>
      <c r="J191" t="str">
        <f t="shared" si="27"/>
        <v>080501</v>
      </c>
      <c r="K191" t="s">
        <v>21</v>
      </c>
      <c r="L191" t="s">
        <v>22</v>
      </c>
      <c r="M191" t="str">
        <f t="shared" si="26"/>
        <v>1</v>
      </c>
      <c r="O191" t="str">
        <f t="shared" si="28"/>
        <v>1 </v>
      </c>
      <c r="P191">
        <v>28</v>
      </c>
      <c r="Q191" t="s">
        <v>23</v>
      </c>
    </row>
    <row r="192" spans="1:17" ht="15">
      <c r="A192" t="s">
        <v>17</v>
      </c>
      <c r="B192" s="1">
        <v>41807</v>
      </c>
      <c r="C192" t="s">
        <v>405</v>
      </c>
      <c r="D192" t="str">
        <f>CONCATENATE("0130002123","")</f>
        <v>0130002123</v>
      </c>
      <c r="E192" t="str">
        <f>CONCATENATE("0050102000676       ","")</f>
        <v>0050102000676       </v>
      </c>
      <c r="F192" t="str">
        <f>CONCATENATE("111442","")</f>
        <v>111442</v>
      </c>
      <c r="G192" t="s">
        <v>406</v>
      </c>
      <c r="H192" t="s">
        <v>436</v>
      </c>
      <c r="I192" t="s">
        <v>437</v>
      </c>
      <c r="J192" t="str">
        <f t="shared" si="27"/>
        <v>080501</v>
      </c>
      <c r="K192" t="s">
        <v>21</v>
      </c>
      <c r="L192" t="s">
        <v>22</v>
      </c>
      <c r="M192" t="str">
        <f>CONCATENATE("3","")</f>
        <v>3</v>
      </c>
      <c r="O192" t="str">
        <f t="shared" si="28"/>
        <v>1 </v>
      </c>
      <c r="P192">
        <v>12.95</v>
      </c>
      <c r="Q192" t="s">
        <v>68</v>
      </c>
    </row>
    <row r="193" spans="1:17" ht="15">
      <c r="A193" t="s">
        <v>17</v>
      </c>
      <c r="B193" s="1">
        <v>41807</v>
      </c>
      <c r="C193" t="s">
        <v>405</v>
      </c>
      <c r="D193" t="str">
        <f>CONCATENATE("0130020381","")</f>
        <v>0130020381</v>
      </c>
      <c r="E193" t="str">
        <f>CONCATENATE("0050102000692       ","")</f>
        <v>0050102000692       </v>
      </c>
      <c r="F193" t="str">
        <f>CONCATENATE("1602644","")</f>
        <v>1602644</v>
      </c>
      <c r="G193" t="s">
        <v>438</v>
      </c>
      <c r="H193" t="s">
        <v>439</v>
      </c>
      <c r="I193" t="s">
        <v>440</v>
      </c>
      <c r="J193" t="str">
        <f t="shared" si="27"/>
        <v>080501</v>
      </c>
      <c r="K193" t="s">
        <v>21</v>
      </c>
      <c r="L193" t="s">
        <v>22</v>
      </c>
      <c r="M193" t="str">
        <f aca="true" t="shared" si="29" ref="M193:M210">CONCATENATE("1","")</f>
        <v>1</v>
      </c>
      <c r="O193" t="str">
        <f t="shared" si="28"/>
        <v>1 </v>
      </c>
      <c r="P193">
        <v>30.7</v>
      </c>
      <c r="Q193" t="s">
        <v>23</v>
      </c>
    </row>
    <row r="194" spans="1:17" ht="15">
      <c r="A194" t="s">
        <v>17</v>
      </c>
      <c r="B194" s="1">
        <v>41807</v>
      </c>
      <c r="C194" t="s">
        <v>405</v>
      </c>
      <c r="D194" t="str">
        <f>CONCATENATE("0130016141","")</f>
        <v>0130016141</v>
      </c>
      <c r="E194" t="str">
        <f>CONCATENATE("0050102000694       ","")</f>
        <v>0050102000694       </v>
      </c>
      <c r="F194" t="str">
        <f>CONCATENATE("605278773","")</f>
        <v>605278773</v>
      </c>
      <c r="G194" t="s">
        <v>406</v>
      </c>
      <c r="H194" t="s">
        <v>441</v>
      </c>
      <c r="I194" t="s">
        <v>442</v>
      </c>
      <c r="J194" t="str">
        <f t="shared" si="27"/>
        <v>080501</v>
      </c>
      <c r="K194" t="s">
        <v>21</v>
      </c>
      <c r="L194" t="s">
        <v>22</v>
      </c>
      <c r="M194" t="str">
        <f t="shared" si="29"/>
        <v>1</v>
      </c>
      <c r="O194" t="str">
        <f t="shared" si="28"/>
        <v>1 </v>
      </c>
      <c r="P194">
        <v>32.25</v>
      </c>
      <c r="Q194" t="s">
        <v>23</v>
      </c>
    </row>
    <row r="195" spans="1:17" ht="15">
      <c r="A195" t="s">
        <v>17</v>
      </c>
      <c r="B195" s="1">
        <v>41807</v>
      </c>
      <c r="C195" t="s">
        <v>405</v>
      </c>
      <c r="D195" t="str">
        <f>CONCATENATE("0130010729","")</f>
        <v>0130010729</v>
      </c>
      <c r="E195" t="str">
        <f>CONCATENATE("0050102000716       ","")</f>
        <v>0050102000716       </v>
      </c>
      <c r="F195" t="str">
        <f>CONCATENATE("605764308","")</f>
        <v>605764308</v>
      </c>
      <c r="G195" t="s">
        <v>406</v>
      </c>
      <c r="H195" t="s">
        <v>443</v>
      </c>
      <c r="I195" t="s">
        <v>444</v>
      </c>
      <c r="J195" t="str">
        <f t="shared" si="27"/>
        <v>080501</v>
      </c>
      <c r="K195" t="s">
        <v>21</v>
      </c>
      <c r="L195" t="s">
        <v>22</v>
      </c>
      <c r="M195" t="str">
        <f t="shared" si="29"/>
        <v>1</v>
      </c>
      <c r="O195" t="str">
        <f t="shared" si="28"/>
        <v>1 </v>
      </c>
      <c r="P195">
        <v>11.4</v>
      </c>
      <c r="Q195" t="s">
        <v>23</v>
      </c>
    </row>
    <row r="196" spans="1:17" ht="15">
      <c r="A196" t="s">
        <v>17</v>
      </c>
      <c r="B196" s="1">
        <v>41807</v>
      </c>
      <c r="C196" t="s">
        <v>405</v>
      </c>
      <c r="D196" t="str">
        <f>CONCATENATE("0130019976","")</f>
        <v>0130019976</v>
      </c>
      <c r="E196" t="str">
        <f>CONCATENATE("0050102000768       ","")</f>
        <v>0050102000768       </v>
      </c>
      <c r="F196" t="str">
        <f>CONCATENATE("605936082","")</f>
        <v>605936082</v>
      </c>
      <c r="G196" t="s">
        <v>406</v>
      </c>
      <c r="H196" t="s">
        <v>445</v>
      </c>
      <c r="I196" s="2" t="s">
        <v>1418</v>
      </c>
      <c r="J196" t="str">
        <f t="shared" si="27"/>
        <v>080501</v>
      </c>
      <c r="K196" t="s">
        <v>21</v>
      </c>
      <c r="L196" t="s">
        <v>22</v>
      </c>
      <c r="M196" t="str">
        <f t="shared" si="29"/>
        <v>1</v>
      </c>
      <c r="O196" t="str">
        <f t="shared" si="28"/>
        <v>1 </v>
      </c>
      <c r="P196">
        <v>32.85</v>
      </c>
      <c r="Q196" t="s">
        <v>23</v>
      </c>
    </row>
    <row r="197" spans="1:17" ht="15">
      <c r="A197" t="s">
        <v>17</v>
      </c>
      <c r="B197" s="1">
        <v>41807</v>
      </c>
      <c r="C197" t="s">
        <v>405</v>
      </c>
      <c r="D197" t="str">
        <f>CONCATENATE("0130008076","")</f>
        <v>0130008076</v>
      </c>
      <c r="E197" t="str">
        <f>CONCATENATE("0050102001015       ","")</f>
        <v>0050102001015       </v>
      </c>
      <c r="F197" t="str">
        <f>CONCATENATE("605121569","")</f>
        <v>605121569</v>
      </c>
      <c r="G197" t="s">
        <v>414</v>
      </c>
      <c r="H197" t="s">
        <v>446</v>
      </c>
      <c r="I197" t="s">
        <v>447</v>
      </c>
      <c r="J197" t="str">
        <f t="shared" si="27"/>
        <v>080501</v>
      </c>
      <c r="K197" t="s">
        <v>21</v>
      </c>
      <c r="L197" t="s">
        <v>22</v>
      </c>
      <c r="M197" t="str">
        <f t="shared" si="29"/>
        <v>1</v>
      </c>
      <c r="O197" t="str">
        <f t="shared" si="28"/>
        <v>1 </v>
      </c>
      <c r="P197">
        <v>126.35</v>
      </c>
      <c r="Q197" t="s">
        <v>23</v>
      </c>
    </row>
    <row r="198" spans="1:17" ht="15">
      <c r="A198" t="s">
        <v>17</v>
      </c>
      <c r="B198" s="1">
        <v>41807</v>
      </c>
      <c r="C198" t="s">
        <v>405</v>
      </c>
      <c r="D198" t="str">
        <f>CONCATENATE("0130014659","")</f>
        <v>0130014659</v>
      </c>
      <c r="E198" t="str">
        <f>CONCATENATE("0050102001019       ","")</f>
        <v>0050102001019       </v>
      </c>
      <c r="F198" t="str">
        <f>CONCATENATE("605113448","")</f>
        <v>605113448</v>
      </c>
      <c r="G198" t="s">
        <v>414</v>
      </c>
      <c r="H198" t="s">
        <v>448</v>
      </c>
      <c r="I198" t="s">
        <v>449</v>
      </c>
      <c r="J198" t="str">
        <f t="shared" si="27"/>
        <v>080501</v>
      </c>
      <c r="K198" t="s">
        <v>21</v>
      </c>
      <c r="L198" t="s">
        <v>22</v>
      </c>
      <c r="M198" t="str">
        <f t="shared" si="29"/>
        <v>1</v>
      </c>
      <c r="O198" t="str">
        <f t="shared" si="28"/>
        <v>1 </v>
      </c>
      <c r="P198">
        <v>115.95</v>
      </c>
      <c r="Q198" t="s">
        <v>23</v>
      </c>
    </row>
    <row r="199" spans="1:17" ht="15">
      <c r="A199" t="s">
        <v>17</v>
      </c>
      <c r="B199" s="1">
        <v>41807</v>
      </c>
      <c r="C199" t="s">
        <v>405</v>
      </c>
      <c r="D199" t="str">
        <f>CONCATENATE("0130011131","")</f>
        <v>0130011131</v>
      </c>
      <c r="E199" t="str">
        <f>CONCATENATE("0050103000052       ","")</f>
        <v>0050103000052       </v>
      </c>
      <c r="F199" t="str">
        <f>CONCATENATE("605764302","")</f>
        <v>605764302</v>
      </c>
      <c r="G199" t="s">
        <v>411</v>
      </c>
      <c r="H199" t="s">
        <v>450</v>
      </c>
      <c r="I199" t="s">
        <v>451</v>
      </c>
      <c r="J199" t="str">
        <f t="shared" si="27"/>
        <v>080501</v>
      </c>
      <c r="K199" t="s">
        <v>21</v>
      </c>
      <c r="L199" t="s">
        <v>22</v>
      </c>
      <c r="M199" t="str">
        <f t="shared" si="29"/>
        <v>1</v>
      </c>
      <c r="O199" t="str">
        <f t="shared" si="28"/>
        <v>1 </v>
      </c>
      <c r="P199">
        <v>21.3</v>
      </c>
      <c r="Q199" t="s">
        <v>23</v>
      </c>
    </row>
    <row r="200" spans="1:17" ht="15">
      <c r="A200" t="s">
        <v>17</v>
      </c>
      <c r="B200" s="1">
        <v>41807</v>
      </c>
      <c r="C200" t="s">
        <v>405</v>
      </c>
      <c r="D200" t="str">
        <f>CONCATENATE("0130009905","")</f>
        <v>0130009905</v>
      </c>
      <c r="E200" t="str">
        <f>CONCATENATE("0050103000762       ","")</f>
        <v>0050103000762       </v>
      </c>
      <c r="F200" t="str">
        <f>CONCATENATE("605626134","")</f>
        <v>605626134</v>
      </c>
      <c r="G200" t="s">
        <v>411</v>
      </c>
      <c r="H200" t="s">
        <v>452</v>
      </c>
      <c r="I200" t="s">
        <v>453</v>
      </c>
      <c r="J200" t="str">
        <f t="shared" si="27"/>
        <v>080501</v>
      </c>
      <c r="K200" t="s">
        <v>21</v>
      </c>
      <c r="L200" t="s">
        <v>22</v>
      </c>
      <c r="M200" t="str">
        <f t="shared" si="29"/>
        <v>1</v>
      </c>
      <c r="O200" t="str">
        <f t="shared" si="28"/>
        <v>1 </v>
      </c>
      <c r="P200">
        <v>94.35</v>
      </c>
      <c r="Q200" t="s">
        <v>23</v>
      </c>
    </row>
    <row r="201" spans="1:17" ht="15">
      <c r="A201" t="s">
        <v>17</v>
      </c>
      <c r="B201" s="1">
        <v>41807</v>
      </c>
      <c r="C201" t="s">
        <v>405</v>
      </c>
      <c r="D201" t="str">
        <f>CONCATENATE("0130009916","")</f>
        <v>0130009916</v>
      </c>
      <c r="E201" t="str">
        <f>CONCATENATE("0050103000808       ","")</f>
        <v>0050103000808       </v>
      </c>
      <c r="F201" t="str">
        <f>CONCATENATE("605740674","")</f>
        <v>605740674</v>
      </c>
      <c r="G201" t="s">
        <v>438</v>
      </c>
      <c r="H201" t="s">
        <v>454</v>
      </c>
      <c r="I201" t="s">
        <v>455</v>
      </c>
      <c r="J201" t="str">
        <f t="shared" si="27"/>
        <v>080501</v>
      </c>
      <c r="K201" t="s">
        <v>21</v>
      </c>
      <c r="L201" t="s">
        <v>22</v>
      </c>
      <c r="M201" t="str">
        <f t="shared" si="29"/>
        <v>1</v>
      </c>
      <c r="O201" t="str">
        <f t="shared" si="28"/>
        <v>1 </v>
      </c>
      <c r="P201">
        <v>77.85</v>
      </c>
      <c r="Q201" t="s">
        <v>23</v>
      </c>
    </row>
    <row r="202" spans="1:17" ht="15">
      <c r="A202" t="s">
        <v>17</v>
      </c>
      <c r="B202" s="1">
        <v>41807</v>
      </c>
      <c r="C202" t="s">
        <v>405</v>
      </c>
      <c r="D202" t="str">
        <f>CONCATENATE("0130019851","")</f>
        <v>0130019851</v>
      </c>
      <c r="E202" t="str">
        <f>CONCATENATE("0050103042180       ","")</f>
        <v>0050103042180       </v>
      </c>
      <c r="F202" t="str">
        <f>CONCATENATE("6060035230","")</f>
        <v>6060035230</v>
      </c>
      <c r="G202" t="s">
        <v>411</v>
      </c>
      <c r="H202" t="s">
        <v>456</v>
      </c>
      <c r="I202" t="s">
        <v>457</v>
      </c>
      <c r="J202" t="str">
        <f t="shared" si="27"/>
        <v>080501</v>
      </c>
      <c r="K202" t="s">
        <v>21</v>
      </c>
      <c r="L202" t="s">
        <v>22</v>
      </c>
      <c r="M202" t="str">
        <f t="shared" si="29"/>
        <v>1</v>
      </c>
      <c r="O202" t="str">
        <f t="shared" si="28"/>
        <v>1 </v>
      </c>
      <c r="P202">
        <v>26</v>
      </c>
      <c r="Q202" t="s">
        <v>23</v>
      </c>
    </row>
    <row r="203" spans="1:17" ht="15">
      <c r="A203" t="s">
        <v>17</v>
      </c>
      <c r="B203" s="1">
        <v>41807</v>
      </c>
      <c r="C203" t="s">
        <v>405</v>
      </c>
      <c r="D203" t="str">
        <f>CONCATENATE("0130019825","")</f>
        <v>0130019825</v>
      </c>
      <c r="E203" t="str">
        <f>CONCATENATE("0050103042360       ","")</f>
        <v>0050103042360       </v>
      </c>
      <c r="F203" t="str">
        <f>CONCATENATE("606035221","")</f>
        <v>606035221</v>
      </c>
      <c r="G203" t="s">
        <v>411</v>
      </c>
      <c r="H203" t="s">
        <v>458</v>
      </c>
      <c r="I203" t="s">
        <v>459</v>
      </c>
      <c r="J203" t="str">
        <f t="shared" si="27"/>
        <v>080501</v>
      </c>
      <c r="K203" t="s">
        <v>21</v>
      </c>
      <c r="L203" t="s">
        <v>22</v>
      </c>
      <c r="M203" t="str">
        <f t="shared" si="29"/>
        <v>1</v>
      </c>
      <c r="O203" t="str">
        <f t="shared" si="28"/>
        <v>1 </v>
      </c>
      <c r="P203">
        <v>11.4</v>
      </c>
      <c r="Q203" t="s">
        <v>23</v>
      </c>
    </row>
    <row r="204" spans="1:17" ht="15">
      <c r="A204" t="s">
        <v>17</v>
      </c>
      <c r="B204" s="1">
        <v>41807</v>
      </c>
      <c r="C204" t="s">
        <v>405</v>
      </c>
      <c r="D204" t="str">
        <f>CONCATENATE("0130008780","")</f>
        <v>0130008780</v>
      </c>
      <c r="E204" t="str">
        <f>CONCATENATE("0050104000100       ","")</f>
        <v>0050104000100       </v>
      </c>
      <c r="F204" t="str">
        <f>CONCATENATE("7299620","")</f>
        <v>7299620</v>
      </c>
      <c r="G204" t="s">
        <v>460</v>
      </c>
      <c r="H204" t="s">
        <v>461</v>
      </c>
      <c r="I204" t="s">
        <v>462</v>
      </c>
      <c r="J204" t="str">
        <f t="shared" si="27"/>
        <v>080501</v>
      </c>
      <c r="K204" t="s">
        <v>21</v>
      </c>
      <c r="L204" t="s">
        <v>22</v>
      </c>
      <c r="M204" t="str">
        <f t="shared" si="29"/>
        <v>1</v>
      </c>
      <c r="O204" t="str">
        <f t="shared" si="28"/>
        <v>1 </v>
      </c>
      <c r="P204">
        <v>15.7</v>
      </c>
      <c r="Q204" t="s">
        <v>23</v>
      </c>
    </row>
    <row r="205" spans="1:17" ht="15">
      <c r="A205" t="s">
        <v>17</v>
      </c>
      <c r="B205" s="1">
        <v>41807</v>
      </c>
      <c r="C205" t="s">
        <v>463</v>
      </c>
      <c r="D205" t="str">
        <f>CONCATENATE("0040033803","")</f>
        <v>0040033803</v>
      </c>
      <c r="E205" t="str">
        <f>CONCATENATE("0050106000125       ","")</f>
        <v>0050106000125       </v>
      </c>
      <c r="F205" t="str">
        <f>CONCATENATE("606670339","")</f>
        <v>606670339</v>
      </c>
      <c r="G205" t="s">
        <v>464</v>
      </c>
      <c r="H205" t="s">
        <v>465</v>
      </c>
      <c r="I205" t="s">
        <v>466</v>
      </c>
      <c r="J205" t="str">
        <f aca="true" t="shared" si="30" ref="J205:J210">CONCATENATE("080507","")</f>
        <v>080507</v>
      </c>
      <c r="K205" t="s">
        <v>21</v>
      </c>
      <c r="L205" t="s">
        <v>22</v>
      </c>
      <c r="M205" t="str">
        <f t="shared" si="29"/>
        <v>1</v>
      </c>
      <c r="O205" t="str">
        <f>CONCATENATE("2 ","")</f>
        <v>2 </v>
      </c>
      <c r="P205">
        <v>28.8</v>
      </c>
      <c r="Q205" t="s">
        <v>23</v>
      </c>
    </row>
    <row r="206" spans="1:17" ht="15">
      <c r="A206" t="s">
        <v>17</v>
      </c>
      <c r="B206" s="1">
        <v>41807</v>
      </c>
      <c r="C206" t="s">
        <v>463</v>
      </c>
      <c r="D206" t="str">
        <f>CONCATENATE("0130009818","")</f>
        <v>0130009818</v>
      </c>
      <c r="E206" t="str">
        <f>CONCATENATE("0050106000165       ","")</f>
        <v>0050106000165       </v>
      </c>
      <c r="F206" t="str">
        <f>CONCATENATE("605348384","")</f>
        <v>605348384</v>
      </c>
      <c r="G206" t="s">
        <v>464</v>
      </c>
      <c r="H206" t="s">
        <v>467</v>
      </c>
      <c r="I206" t="s">
        <v>468</v>
      </c>
      <c r="J206" t="str">
        <f t="shared" si="30"/>
        <v>080507</v>
      </c>
      <c r="K206" t="s">
        <v>21</v>
      </c>
      <c r="L206" t="s">
        <v>22</v>
      </c>
      <c r="M206" t="str">
        <f t="shared" si="29"/>
        <v>1</v>
      </c>
      <c r="O206" t="str">
        <f>CONCATENATE("2 ","")</f>
        <v>2 </v>
      </c>
      <c r="P206">
        <v>24.5</v>
      </c>
      <c r="Q206" t="s">
        <v>23</v>
      </c>
    </row>
    <row r="207" spans="1:17" ht="15">
      <c r="A207" t="s">
        <v>17</v>
      </c>
      <c r="B207" s="1">
        <v>41807</v>
      </c>
      <c r="C207" t="s">
        <v>463</v>
      </c>
      <c r="D207" t="str">
        <f>CONCATENATE("0130014634","")</f>
        <v>0130014634</v>
      </c>
      <c r="E207" t="str">
        <f>CONCATENATE("0050106000252       ","")</f>
        <v>0050106000252       </v>
      </c>
      <c r="F207" t="str">
        <f>CONCATENATE("605054355","")</f>
        <v>605054355</v>
      </c>
      <c r="G207" t="s">
        <v>464</v>
      </c>
      <c r="H207" t="s">
        <v>469</v>
      </c>
      <c r="I207" t="s">
        <v>470</v>
      </c>
      <c r="J207" t="str">
        <f t="shared" si="30"/>
        <v>080507</v>
      </c>
      <c r="K207" t="s">
        <v>21</v>
      </c>
      <c r="L207" t="s">
        <v>22</v>
      </c>
      <c r="M207" t="str">
        <f t="shared" si="29"/>
        <v>1</v>
      </c>
      <c r="O207" t="str">
        <f>CONCATENATE("2 ","")</f>
        <v>2 </v>
      </c>
      <c r="P207">
        <v>36.7</v>
      </c>
      <c r="Q207" t="s">
        <v>23</v>
      </c>
    </row>
    <row r="208" spans="1:17" ht="15">
      <c r="A208" t="s">
        <v>17</v>
      </c>
      <c r="B208" s="1">
        <v>41807</v>
      </c>
      <c r="C208" t="s">
        <v>463</v>
      </c>
      <c r="D208" t="str">
        <f>CONCATENATE("0130012179","")</f>
        <v>0130012179</v>
      </c>
      <c r="E208" t="str">
        <f>CONCATENATE("0050106000253       ","")</f>
        <v>0050106000253       </v>
      </c>
      <c r="F208" t="str">
        <f>CONCATENATE("00000290593","")</f>
        <v>00000290593</v>
      </c>
      <c r="G208" t="s">
        <v>464</v>
      </c>
      <c r="H208" t="s">
        <v>471</v>
      </c>
      <c r="I208" t="s">
        <v>472</v>
      </c>
      <c r="J208" t="str">
        <f t="shared" si="30"/>
        <v>080507</v>
      </c>
      <c r="K208" t="s">
        <v>21</v>
      </c>
      <c r="L208" t="s">
        <v>22</v>
      </c>
      <c r="M208" t="str">
        <f t="shared" si="29"/>
        <v>1</v>
      </c>
      <c r="O208" t="str">
        <f>CONCATENATE("1 ","")</f>
        <v>1 </v>
      </c>
      <c r="P208">
        <v>12.3</v>
      </c>
      <c r="Q208" t="s">
        <v>23</v>
      </c>
    </row>
    <row r="209" spans="1:17" ht="15">
      <c r="A209" t="s">
        <v>17</v>
      </c>
      <c r="B209" s="1">
        <v>41807</v>
      </c>
      <c r="C209" t="s">
        <v>463</v>
      </c>
      <c r="D209" t="str">
        <f>CONCATENATE("0130012933","")</f>
        <v>0130012933</v>
      </c>
      <c r="E209" t="str">
        <f>CONCATENATE("0050106000492       ","")</f>
        <v>0050106000492       </v>
      </c>
      <c r="F209" t="str">
        <f>CONCATENATE("00000329475","")</f>
        <v>00000329475</v>
      </c>
      <c r="G209" t="s">
        <v>464</v>
      </c>
      <c r="H209" t="s">
        <v>473</v>
      </c>
      <c r="I209" t="s">
        <v>474</v>
      </c>
      <c r="J209" t="str">
        <f t="shared" si="30"/>
        <v>080507</v>
      </c>
      <c r="K209" t="s">
        <v>21</v>
      </c>
      <c r="L209" t="s">
        <v>22</v>
      </c>
      <c r="M209" t="str">
        <f t="shared" si="29"/>
        <v>1</v>
      </c>
      <c r="O209" t="str">
        <f>CONCATENATE("2 ","")</f>
        <v>2 </v>
      </c>
      <c r="P209">
        <v>46.8</v>
      </c>
      <c r="Q209" t="s">
        <v>23</v>
      </c>
    </row>
    <row r="210" spans="1:17" ht="15">
      <c r="A210" t="s">
        <v>17</v>
      </c>
      <c r="B210" s="1">
        <v>41807</v>
      </c>
      <c r="C210" t="s">
        <v>463</v>
      </c>
      <c r="D210" t="str">
        <f>CONCATENATE("0130014880","")</f>
        <v>0130014880</v>
      </c>
      <c r="E210" t="str">
        <f>CONCATENATE("0050106000550       ","")</f>
        <v>0050106000550       </v>
      </c>
      <c r="F210" t="str">
        <f>CONCATENATE("605083959","")</f>
        <v>605083959</v>
      </c>
      <c r="G210" t="s">
        <v>464</v>
      </c>
      <c r="H210" t="s">
        <v>475</v>
      </c>
      <c r="I210" t="s">
        <v>476</v>
      </c>
      <c r="J210" t="str">
        <f t="shared" si="30"/>
        <v>080507</v>
      </c>
      <c r="K210" t="s">
        <v>21</v>
      </c>
      <c r="L210" t="s">
        <v>22</v>
      </c>
      <c r="M210" t="str">
        <f t="shared" si="29"/>
        <v>1</v>
      </c>
      <c r="O210" t="str">
        <f>CONCATENATE("1 ","")</f>
        <v>1 </v>
      </c>
      <c r="P210">
        <v>46.25</v>
      </c>
      <c r="Q210" t="s">
        <v>23</v>
      </c>
    </row>
    <row r="211" spans="1:17" ht="15">
      <c r="A211" t="s">
        <v>17</v>
      </c>
      <c r="B211" s="1">
        <v>41807</v>
      </c>
      <c r="C211" t="s">
        <v>405</v>
      </c>
      <c r="D211" t="str">
        <f>CONCATENATE("0130010390","")</f>
        <v>0130010390</v>
      </c>
      <c r="E211" t="str">
        <f>CONCATENATE("0050107000340       ","")</f>
        <v>0050107000340       </v>
      </c>
      <c r="F211" t="str">
        <f>CONCATENATE("111510","")</f>
        <v>111510</v>
      </c>
      <c r="G211" t="s">
        <v>477</v>
      </c>
      <c r="H211" t="s">
        <v>478</v>
      </c>
      <c r="I211" t="s">
        <v>479</v>
      </c>
      <c r="J211" t="str">
        <f aca="true" t="shared" si="31" ref="J211:J216">CONCATENATE("080501","")</f>
        <v>080501</v>
      </c>
      <c r="K211" t="s">
        <v>21</v>
      </c>
      <c r="L211" t="s">
        <v>22</v>
      </c>
      <c r="M211" t="str">
        <f>CONCATENATE("3","")</f>
        <v>3</v>
      </c>
      <c r="O211" t="str">
        <f>CONCATENATE("2 ","")</f>
        <v>2 </v>
      </c>
      <c r="P211">
        <v>17.25</v>
      </c>
      <c r="Q211" t="s">
        <v>68</v>
      </c>
    </row>
    <row r="212" spans="1:17" ht="15">
      <c r="A212" t="s">
        <v>17</v>
      </c>
      <c r="B212" s="1">
        <v>41807</v>
      </c>
      <c r="C212" t="s">
        <v>405</v>
      </c>
      <c r="D212" t="str">
        <f>CONCATENATE("0130011127","")</f>
        <v>0130011127</v>
      </c>
      <c r="E212" t="str">
        <f>CONCATENATE("0050107000342       ","")</f>
        <v>0050107000342       </v>
      </c>
      <c r="F212" t="str">
        <f>CONCATENATE("605749742","")</f>
        <v>605749742</v>
      </c>
      <c r="G212" t="s">
        <v>480</v>
      </c>
      <c r="H212" t="s">
        <v>481</v>
      </c>
      <c r="I212" t="s">
        <v>482</v>
      </c>
      <c r="J212" t="str">
        <f t="shared" si="31"/>
        <v>080501</v>
      </c>
      <c r="K212" t="s">
        <v>21</v>
      </c>
      <c r="L212" t="s">
        <v>22</v>
      </c>
      <c r="M212" t="str">
        <f aca="true" t="shared" si="32" ref="M212:M226">CONCATENATE("1","")</f>
        <v>1</v>
      </c>
      <c r="O212" t="str">
        <f>CONCATENATE("2 ","")</f>
        <v>2 </v>
      </c>
      <c r="P212">
        <v>48.65</v>
      </c>
      <c r="Q212" t="s">
        <v>23</v>
      </c>
    </row>
    <row r="213" spans="1:17" ht="15">
      <c r="A213" t="s">
        <v>17</v>
      </c>
      <c r="B213" s="1">
        <v>41807</v>
      </c>
      <c r="C213" t="s">
        <v>405</v>
      </c>
      <c r="D213" t="str">
        <f>CONCATENATE("0130010391","")</f>
        <v>0130010391</v>
      </c>
      <c r="E213" t="str">
        <f>CONCATENATE("0050107000350       ","")</f>
        <v>0050107000350       </v>
      </c>
      <c r="F213" t="str">
        <f>CONCATENATE("0605771418","")</f>
        <v>0605771418</v>
      </c>
      <c r="G213" t="s">
        <v>477</v>
      </c>
      <c r="H213" t="s">
        <v>483</v>
      </c>
      <c r="I213" t="s">
        <v>479</v>
      </c>
      <c r="J213" t="str">
        <f t="shared" si="31"/>
        <v>080501</v>
      </c>
      <c r="K213" t="s">
        <v>21</v>
      </c>
      <c r="L213" t="s">
        <v>22</v>
      </c>
      <c r="M213" t="str">
        <f t="shared" si="32"/>
        <v>1</v>
      </c>
      <c r="O213" t="str">
        <f>CONCATENATE("2 ","")</f>
        <v>2 </v>
      </c>
      <c r="P213">
        <v>16.6</v>
      </c>
      <c r="Q213" t="s">
        <v>23</v>
      </c>
    </row>
    <row r="214" spans="1:17" ht="15">
      <c r="A214" t="s">
        <v>17</v>
      </c>
      <c r="B214" s="1">
        <v>41807</v>
      </c>
      <c r="C214" t="s">
        <v>405</v>
      </c>
      <c r="D214" t="str">
        <f>CONCATENATE("0130016825","")</f>
        <v>0130016825</v>
      </c>
      <c r="E214" t="str">
        <f>CONCATENATE("0050107011013       ","")</f>
        <v>0050107011013       </v>
      </c>
      <c r="F214" t="str">
        <f>CONCATENATE("605623856","")</f>
        <v>605623856</v>
      </c>
      <c r="G214" t="s">
        <v>484</v>
      </c>
      <c r="H214" t="s">
        <v>485</v>
      </c>
      <c r="I214" t="s">
        <v>486</v>
      </c>
      <c r="J214" t="str">
        <f t="shared" si="31"/>
        <v>080501</v>
      </c>
      <c r="K214" t="s">
        <v>21</v>
      </c>
      <c r="L214" t="s">
        <v>22</v>
      </c>
      <c r="M214" t="str">
        <f t="shared" si="32"/>
        <v>1</v>
      </c>
      <c r="O214" t="str">
        <f aca="true" t="shared" si="33" ref="O214:O219">CONCATENATE("1 ","")</f>
        <v>1 </v>
      </c>
      <c r="P214">
        <v>18</v>
      </c>
      <c r="Q214" t="s">
        <v>23</v>
      </c>
    </row>
    <row r="215" spans="1:17" ht="15">
      <c r="A215" t="s">
        <v>17</v>
      </c>
      <c r="B215" s="1">
        <v>41807</v>
      </c>
      <c r="C215" t="s">
        <v>405</v>
      </c>
      <c r="D215" t="str">
        <f>CONCATENATE("0130021548","")</f>
        <v>0130021548</v>
      </c>
      <c r="E215" t="str">
        <f>CONCATENATE("0050107011030       ","")</f>
        <v>0050107011030       </v>
      </c>
      <c r="F215" t="str">
        <f>CONCATENATE("1943806","")</f>
        <v>1943806</v>
      </c>
      <c r="G215" t="s">
        <v>484</v>
      </c>
      <c r="H215" t="s">
        <v>487</v>
      </c>
      <c r="I215" t="s">
        <v>488</v>
      </c>
      <c r="J215" t="str">
        <f t="shared" si="31"/>
        <v>080501</v>
      </c>
      <c r="K215" t="s">
        <v>21</v>
      </c>
      <c r="L215" t="s">
        <v>22</v>
      </c>
      <c r="M215" t="str">
        <f t="shared" si="32"/>
        <v>1</v>
      </c>
      <c r="O215" t="str">
        <f t="shared" si="33"/>
        <v>1 </v>
      </c>
      <c r="P215">
        <v>19.15</v>
      </c>
      <c r="Q215" t="s">
        <v>23</v>
      </c>
    </row>
    <row r="216" spans="1:17" ht="15">
      <c r="A216" t="s">
        <v>17</v>
      </c>
      <c r="B216" s="1">
        <v>41807</v>
      </c>
      <c r="C216" t="s">
        <v>405</v>
      </c>
      <c r="D216" t="str">
        <f>CONCATENATE("0130015690","")</f>
        <v>0130015690</v>
      </c>
      <c r="E216" t="str">
        <f>CONCATENATE("0050109000410       ","")</f>
        <v>0050109000410       </v>
      </c>
      <c r="F216" t="str">
        <f>CONCATENATE("605280393","")</f>
        <v>605280393</v>
      </c>
      <c r="G216" t="s">
        <v>489</v>
      </c>
      <c r="H216" t="s">
        <v>490</v>
      </c>
      <c r="I216" t="s">
        <v>491</v>
      </c>
      <c r="J216" t="str">
        <f t="shared" si="31"/>
        <v>080501</v>
      </c>
      <c r="K216" t="s">
        <v>21</v>
      </c>
      <c r="L216" t="s">
        <v>22</v>
      </c>
      <c r="M216" t="str">
        <f t="shared" si="32"/>
        <v>1</v>
      </c>
      <c r="O216" t="str">
        <f t="shared" si="33"/>
        <v>1 </v>
      </c>
      <c r="P216">
        <v>19.2</v>
      </c>
      <c r="Q216" t="s">
        <v>23</v>
      </c>
    </row>
    <row r="217" spans="1:17" ht="15">
      <c r="A217" t="s">
        <v>17</v>
      </c>
      <c r="B217" s="1">
        <v>41807</v>
      </c>
      <c r="C217" t="s">
        <v>463</v>
      </c>
      <c r="D217" t="str">
        <f>CONCATENATE("0040026308","")</f>
        <v>0040026308</v>
      </c>
      <c r="E217" t="str">
        <f>CONCATENATE("0050110000325       ","")</f>
        <v>0050110000325       </v>
      </c>
      <c r="F217" t="str">
        <f>CONCATENATE("1868535","")</f>
        <v>1868535</v>
      </c>
      <c r="G217" t="s">
        <v>492</v>
      </c>
      <c r="H217" t="s">
        <v>493</v>
      </c>
      <c r="I217" t="s">
        <v>494</v>
      </c>
      <c r="J217" t="str">
        <f>CONCATENATE("080507","")</f>
        <v>080507</v>
      </c>
      <c r="K217" t="s">
        <v>21</v>
      </c>
      <c r="L217" t="s">
        <v>22</v>
      </c>
      <c r="M217" t="str">
        <f t="shared" si="32"/>
        <v>1</v>
      </c>
      <c r="O217" t="str">
        <f t="shared" si="33"/>
        <v>1 </v>
      </c>
      <c r="P217">
        <v>30.7</v>
      </c>
      <c r="Q217" t="s">
        <v>23</v>
      </c>
    </row>
    <row r="218" spans="1:17" ht="15">
      <c r="A218" t="s">
        <v>17</v>
      </c>
      <c r="B218" s="1">
        <v>41807</v>
      </c>
      <c r="C218" t="s">
        <v>463</v>
      </c>
      <c r="D218" t="str">
        <f>CONCATENATE("0040031254","")</f>
        <v>0040031254</v>
      </c>
      <c r="E218" t="str">
        <f>CONCATENATE("0050111000111       ","")</f>
        <v>0050111000111       </v>
      </c>
      <c r="F218" t="str">
        <f>CONCATENATE("605771392","")</f>
        <v>605771392</v>
      </c>
      <c r="G218" t="s">
        <v>495</v>
      </c>
      <c r="H218" t="s">
        <v>496</v>
      </c>
      <c r="I218" t="s">
        <v>497</v>
      </c>
      <c r="J218" t="str">
        <f>CONCATENATE("080507","")</f>
        <v>080507</v>
      </c>
      <c r="K218" t="s">
        <v>21</v>
      </c>
      <c r="L218" t="s">
        <v>22</v>
      </c>
      <c r="M218" t="str">
        <f t="shared" si="32"/>
        <v>1</v>
      </c>
      <c r="O218" t="str">
        <f t="shared" si="33"/>
        <v>1 </v>
      </c>
      <c r="P218">
        <v>104</v>
      </c>
      <c r="Q218" t="s">
        <v>23</v>
      </c>
    </row>
    <row r="219" spans="1:17" ht="15">
      <c r="A219" t="s">
        <v>17</v>
      </c>
      <c r="B219" s="1">
        <v>41807</v>
      </c>
      <c r="C219" t="s">
        <v>405</v>
      </c>
      <c r="D219" t="str">
        <f>CONCATENATE("0130016215","")</f>
        <v>0130016215</v>
      </c>
      <c r="E219" t="str">
        <f>CONCATENATE("0050113000080       ","")</f>
        <v>0050113000080       </v>
      </c>
      <c r="F219" t="str">
        <f>CONCATENATE("605289891","")</f>
        <v>605289891</v>
      </c>
      <c r="G219" t="s">
        <v>498</v>
      </c>
      <c r="H219" t="s">
        <v>499</v>
      </c>
      <c r="I219" t="s">
        <v>500</v>
      </c>
      <c r="J219" t="str">
        <f>CONCATENATE("080501","")</f>
        <v>080501</v>
      </c>
      <c r="K219" t="s">
        <v>21</v>
      </c>
      <c r="L219" t="s">
        <v>22</v>
      </c>
      <c r="M219" t="str">
        <f t="shared" si="32"/>
        <v>1</v>
      </c>
      <c r="O219" t="str">
        <f t="shared" si="33"/>
        <v>1 </v>
      </c>
      <c r="P219">
        <v>27.5</v>
      </c>
      <c r="Q219" t="s">
        <v>23</v>
      </c>
    </row>
    <row r="220" spans="1:17" ht="15">
      <c r="A220" t="s">
        <v>17</v>
      </c>
      <c r="B220" s="1">
        <v>41807</v>
      </c>
      <c r="C220" t="s">
        <v>405</v>
      </c>
      <c r="D220" t="str">
        <f>CONCATENATE("0130016761","")</f>
        <v>0130016761</v>
      </c>
      <c r="E220" t="str">
        <f>CONCATENATE("0050113000135       ","")</f>
        <v>0050113000135       </v>
      </c>
      <c r="F220" t="str">
        <f>CONCATENATE("605620233","")</f>
        <v>605620233</v>
      </c>
      <c r="G220" t="s">
        <v>498</v>
      </c>
      <c r="H220" t="s">
        <v>501</v>
      </c>
      <c r="I220" t="s">
        <v>502</v>
      </c>
      <c r="J220" t="str">
        <f>CONCATENATE("080501","")</f>
        <v>080501</v>
      </c>
      <c r="K220" t="s">
        <v>21</v>
      </c>
      <c r="L220" t="s">
        <v>22</v>
      </c>
      <c r="M220" t="str">
        <f t="shared" si="32"/>
        <v>1</v>
      </c>
      <c r="O220" t="str">
        <f>CONCATENATE("2 ","")</f>
        <v>2 </v>
      </c>
      <c r="P220">
        <v>131.8</v>
      </c>
      <c r="Q220" t="s">
        <v>23</v>
      </c>
    </row>
    <row r="221" spans="1:17" ht="15">
      <c r="A221" t="s">
        <v>17</v>
      </c>
      <c r="B221" s="1">
        <v>41807</v>
      </c>
      <c r="C221" t="s">
        <v>405</v>
      </c>
      <c r="D221" t="str">
        <f>CONCATENATE("0130011973","")</f>
        <v>0130011973</v>
      </c>
      <c r="E221" t="str">
        <f>CONCATENATE("0050113000240       ","")</f>
        <v>0050113000240       </v>
      </c>
      <c r="F221" t="str">
        <f>CONCATENATE("00002727747","")</f>
        <v>00002727747</v>
      </c>
      <c r="G221" t="s">
        <v>498</v>
      </c>
      <c r="H221" t="s">
        <v>503</v>
      </c>
      <c r="I221" t="s">
        <v>504</v>
      </c>
      <c r="J221" t="str">
        <f>CONCATENATE("080501","")</f>
        <v>080501</v>
      </c>
      <c r="K221" t="s">
        <v>21</v>
      </c>
      <c r="L221" t="s">
        <v>22</v>
      </c>
      <c r="M221" t="str">
        <f t="shared" si="32"/>
        <v>1</v>
      </c>
      <c r="O221" t="str">
        <f>CONCATENATE("5 ","")</f>
        <v>5 </v>
      </c>
      <c r="P221">
        <v>48.15</v>
      </c>
      <c r="Q221" t="s">
        <v>23</v>
      </c>
    </row>
    <row r="222" spans="1:17" ht="15">
      <c r="A222" t="s">
        <v>17</v>
      </c>
      <c r="B222" s="1">
        <v>41807</v>
      </c>
      <c r="C222" t="s">
        <v>463</v>
      </c>
      <c r="D222" t="str">
        <f>CONCATENATE("0130021456","")</f>
        <v>0130021456</v>
      </c>
      <c r="E222" t="str">
        <f>CONCATENATE("0050114000070       ","")</f>
        <v>0050114000070       </v>
      </c>
      <c r="F222" t="str">
        <f>CONCATENATE("1931310","")</f>
        <v>1931310</v>
      </c>
      <c r="G222" t="s">
        <v>505</v>
      </c>
      <c r="H222" t="s">
        <v>506</v>
      </c>
      <c r="I222" t="s">
        <v>507</v>
      </c>
      <c r="J222" t="str">
        <f>CONCATENATE("080507","")</f>
        <v>080507</v>
      </c>
      <c r="K222" t="s">
        <v>21</v>
      </c>
      <c r="L222" t="s">
        <v>22</v>
      </c>
      <c r="M222" t="str">
        <f t="shared" si="32"/>
        <v>1</v>
      </c>
      <c r="O222" t="str">
        <f>CONCATENATE("1 ","")</f>
        <v>1 </v>
      </c>
      <c r="P222">
        <v>44.2</v>
      </c>
      <c r="Q222" t="s">
        <v>23</v>
      </c>
    </row>
    <row r="223" spans="1:17" ht="15">
      <c r="A223" t="s">
        <v>17</v>
      </c>
      <c r="B223" s="1">
        <v>41807</v>
      </c>
      <c r="C223" t="s">
        <v>463</v>
      </c>
      <c r="D223" t="str">
        <f>CONCATENATE("0040030196","")</f>
        <v>0040030196</v>
      </c>
      <c r="E223" t="str">
        <f>CONCATENATE("0050114000215       ","")</f>
        <v>0050114000215       </v>
      </c>
      <c r="F223" t="str">
        <f>CONCATENATE("2186462","")</f>
        <v>2186462</v>
      </c>
      <c r="G223" t="s">
        <v>505</v>
      </c>
      <c r="H223" t="s">
        <v>508</v>
      </c>
      <c r="I223" t="s">
        <v>509</v>
      </c>
      <c r="J223" t="str">
        <f>CONCATENATE("080507","")</f>
        <v>080507</v>
      </c>
      <c r="K223" t="s">
        <v>21</v>
      </c>
      <c r="L223" t="s">
        <v>22</v>
      </c>
      <c r="M223" t="str">
        <f t="shared" si="32"/>
        <v>1</v>
      </c>
      <c r="O223" t="str">
        <f>CONCATENATE("1 ","")</f>
        <v>1 </v>
      </c>
      <c r="P223">
        <v>11.4</v>
      </c>
      <c r="Q223" t="s">
        <v>23</v>
      </c>
    </row>
    <row r="224" spans="1:17" ht="15">
      <c r="A224" t="s">
        <v>17</v>
      </c>
      <c r="B224" s="1">
        <v>41807</v>
      </c>
      <c r="C224" t="s">
        <v>405</v>
      </c>
      <c r="D224" t="str">
        <f>CONCATENATE("0130014199","")</f>
        <v>0130014199</v>
      </c>
      <c r="E224" t="str">
        <f>CONCATENATE("0050115000050       ","")</f>
        <v>0050115000050       </v>
      </c>
      <c r="F224" t="str">
        <f>CONCATENATE("606034303","")</f>
        <v>606034303</v>
      </c>
      <c r="G224" t="s">
        <v>510</v>
      </c>
      <c r="H224" t="s">
        <v>511</v>
      </c>
      <c r="I224" t="s">
        <v>512</v>
      </c>
      <c r="J224" t="str">
        <f>CONCATENATE("080501","")</f>
        <v>080501</v>
      </c>
      <c r="K224" t="s">
        <v>21</v>
      </c>
      <c r="L224" t="s">
        <v>22</v>
      </c>
      <c r="M224" t="str">
        <f t="shared" si="32"/>
        <v>1</v>
      </c>
      <c r="O224" t="str">
        <f>CONCATENATE("4 ","")</f>
        <v>4 </v>
      </c>
      <c r="P224">
        <v>34.7</v>
      </c>
      <c r="Q224" t="s">
        <v>23</v>
      </c>
    </row>
    <row r="225" spans="1:17" ht="15">
      <c r="A225" t="s">
        <v>17</v>
      </c>
      <c r="B225" s="1">
        <v>41807</v>
      </c>
      <c r="C225" t="s">
        <v>463</v>
      </c>
      <c r="D225" t="str">
        <f>CONCATENATE("0040034892","")</f>
        <v>0040034892</v>
      </c>
      <c r="E225" t="str">
        <f>CONCATENATE("0050116000095       ","")</f>
        <v>0050116000095       </v>
      </c>
      <c r="F225" t="str">
        <f>CONCATENATE("606675572","")</f>
        <v>606675572</v>
      </c>
      <c r="G225" t="s">
        <v>513</v>
      </c>
      <c r="H225" t="s">
        <v>514</v>
      </c>
      <c r="I225" t="s">
        <v>515</v>
      </c>
      <c r="J225" t="str">
        <f>CONCATENATE("080507","")</f>
        <v>080507</v>
      </c>
      <c r="K225" t="s">
        <v>21</v>
      </c>
      <c r="L225" t="s">
        <v>22</v>
      </c>
      <c r="M225" t="str">
        <f t="shared" si="32"/>
        <v>1</v>
      </c>
      <c r="O225" t="str">
        <f>CONCATENATE("1 ","")</f>
        <v>1 </v>
      </c>
      <c r="P225">
        <v>16.9</v>
      </c>
      <c r="Q225" t="s">
        <v>23</v>
      </c>
    </row>
    <row r="226" spans="1:17" ht="15">
      <c r="A226" t="s">
        <v>17</v>
      </c>
      <c r="B226" s="1">
        <v>41807</v>
      </c>
      <c r="C226" t="s">
        <v>463</v>
      </c>
      <c r="D226" t="str">
        <f>CONCATENATE("0040026249","")</f>
        <v>0040026249</v>
      </c>
      <c r="E226" t="str">
        <f>CONCATENATE("0050116000273       ","")</f>
        <v>0050116000273       </v>
      </c>
      <c r="F226" t="str">
        <f>CONCATENATE("606746404","")</f>
        <v>606746404</v>
      </c>
      <c r="G226" t="s">
        <v>513</v>
      </c>
      <c r="H226" t="s">
        <v>516</v>
      </c>
      <c r="I226" t="s">
        <v>517</v>
      </c>
      <c r="J226" t="str">
        <f>CONCATENATE("080507","")</f>
        <v>080507</v>
      </c>
      <c r="K226" t="s">
        <v>21</v>
      </c>
      <c r="L226" t="s">
        <v>22</v>
      </c>
      <c r="M226" t="str">
        <f t="shared" si="32"/>
        <v>1</v>
      </c>
      <c r="O226" t="str">
        <f>CONCATENATE("6 ","")</f>
        <v>6 </v>
      </c>
      <c r="P226">
        <v>443.95</v>
      </c>
      <c r="Q226" t="s">
        <v>23</v>
      </c>
    </row>
    <row r="227" spans="1:17" ht="15">
      <c r="A227" t="s">
        <v>17</v>
      </c>
      <c r="B227" s="1">
        <v>41807</v>
      </c>
      <c r="C227" t="s">
        <v>518</v>
      </c>
      <c r="D227" t="str">
        <f>CONCATENATE("0040031032","")</f>
        <v>0040031032</v>
      </c>
      <c r="E227" t="str">
        <f>CONCATENATE("0050118000010       ","")</f>
        <v>0050118000010       </v>
      </c>
      <c r="F227" t="str">
        <f>CONCATENATE("2150232","")</f>
        <v>2150232</v>
      </c>
      <c r="G227" t="s">
        <v>519</v>
      </c>
      <c r="H227" t="s">
        <v>520</v>
      </c>
      <c r="I227" t="s">
        <v>521</v>
      </c>
      <c r="J227" t="str">
        <f>CONCATENATE("080502","")</f>
        <v>080502</v>
      </c>
      <c r="K227" t="s">
        <v>21</v>
      </c>
      <c r="L227" t="s">
        <v>22</v>
      </c>
      <c r="M227" t="str">
        <f>CONCATENATE("4","")</f>
        <v>4</v>
      </c>
      <c r="O227" t="str">
        <f aca="true" t="shared" si="34" ref="O227:O241">CONCATENATE("1 ","")</f>
        <v>1 </v>
      </c>
      <c r="P227">
        <v>15.65</v>
      </c>
      <c r="Q227" t="s">
        <v>23</v>
      </c>
    </row>
    <row r="228" spans="1:17" ht="15">
      <c r="A228" t="s">
        <v>17</v>
      </c>
      <c r="B228" s="1">
        <v>41807</v>
      </c>
      <c r="C228" t="s">
        <v>518</v>
      </c>
      <c r="D228" t="str">
        <f>CONCATENATE("0130021572","")</f>
        <v>0130021572</v>
      </c>
      <c r="E228" t="str">
        <f>CONCATENATE("0050119000014       ","")</f>
        <v>0050119000014       </v>
      </c>
      <c r="F228" t="str">
        <f>CONCATENATE("1930523","")</f>
        <v>1930523</v>
      </c>
      <c r="G228" t="s">
        <v>522</v>
      </c>
      <c r="H228" t="s">
        <v>523</v>
      </c>
      <c r="I228" t="s">
        <v>524</v>
      </c>
      <c r="J228" t="str">
        <f>CONCATENATE("080502","")</f>
        <v>080502</v>
      </c>
      <c r="K228" t="s">
        <v>21</v>
      </c>
      <c r="L228" t="s">
        <v>22</v>
      </c>
      <c r="M228" t="str">
        <f aca="true" t="shared" si="35" ref="M228:M245">CONCATENATE("1","")</f>
        <v>1</v>
      </c>
      <c r="O228" t="str">
        <f t="shared" si="34"/>
        <v>1 </v>
      </c>
      <c r="P228">
        <v>24.25</v>
      </c>
      <c r="Q228" t="s">
        <v>23</v>
      </c>
    </row>
    <row r="229" spans="1:17" ht="15">
      <c r="A229" t="s">
        <v>17</v>
      </c>
      <c r="B229" s="1">
        <v>41807</v>
      </c>
      <c r="C229" t="s">
        <v>518</v>
      </c>
      <c r="D229" t="str">
        <f>CONCATENATE("0130020704","")</f>
        <v>0130020704</v>
      </c>
      <c r="E229" t="str">
        <f>CONCATENATE("0050119000022       ","")</f>
        <v>0050119000022       </v>
      </c>
      <c r="F229" t="str">
        <f>CONCATENATE("1431618","")</f>
        <v>1431618</v>
      </c>
      <c r="G229" t="s">
        <v>522</v>
      </c>
      <c r="H229" t="s">
        <v>525</v>
      </c>
      <c r="I229" t="s">
        <v>526</v>
      </c>
      <c r="J229" t="str">
        <f>CONCATENATE("080502","")</f>
        <v>080502</v>
      </c>
      <c r="K229" t="s">
        <v>21</v>
      </c>
      <c r="L229" t="s">
        <v>22</v>
      </c>
      <c r="M229" t="str">
        <f t="shared" si="35"/>
        <v>1</v>
      </c>
      <c r="O229" t="str">
        <f t="shared" si="34"/>
        <v>1 </v>
      </c>
      <c r="P229">
        <v>25.85</v>
      </c>
      <c r="Q229" t="s">
        <v>23</v>
      </c>
    </row>
    <row r="230" spans="1:17" ht="15">
      <c r="A230" t="s">
        <v>17</v>
      </c>
      <c r="B230" s="1">
        <v>41807</v>
      </c>
      <c r="C230" t="s">
        <v>518</v>
      </c>
      <c r="D230" t="str">
        <f>CONCATENATE("0130020550","")</f>
        <v>0130020550</v>
      </c>
      <c r="E230" t="str">
        <f>CONCATENATE("0050119000037       ","")</f>
        <v>0050119000037       </v>
      </c>
      <c r="F230" t="str">
        <f>CONCATENATE("1671119","")</f>
        <v>1671119</v>
      </c>
      <c r="G230" t="s">
        <v>522</v>
      </c>
      <c r="H230" t="s">
        <v>527</v>
      </c>
      <c r="I230" t="s">
        <v>528</v>
      </c>
      <c r="J230" t="str">
        <f>CONCATENATE("080502","")</f>
        <v>080502</v>
      </c>
      <c r="K230" t="s">
        <v>21</v>
      </c>
      <c r="L230" t="s">
        <v>22</v>
      </c>
      <c r="M230" t="str">
        <f t="shared" si="35"/>
        <v>1</v>
      </c>
      <c r="O230" t="str">
        <f t="shared" si="34"/>
        <v>1 </v>
      </c>
      <c r="P230">
        <v>17.9</v>
      </c>
      <c r="Q230" t="s">
        <v>23</v>
      </c>
    </row>
    <row r="231" spans="1:17" ht="15">
      <c r="A231" t="s">
        <v>17</v>
      </c>
      <c r="B231" s="1">
        <v>41807</v>
      </c>
      <c r="C231" t="s">
        <v>518</v>
      </c>
      <c r="D231" t="str">
        <f>CONCATENATE("0130021246","")</f>
        <v>0130021246</v>
      </c>
      <c r="E231" t="str">
        <f>CONCATENATE("0050119000255       ","")</f>
        <v>0050119000255       </v>
      </c>
      <c r="F231" t="str">
        <f>CONCATENATE("1938789","")</f>
        <v>1938789</v>
      </c>
      <c r="G231" t="s">
        <v>522</v>
      </c>
      <c r="H231" t="s">
        <v>529</v>
      </c>
      <c r="I231" t="s">
        <v>530</v>
      </c>
      <c r="J231" t="str">
        <f>CONCATENATE("080502","")</f>
        <v>080502</v>
      </c>
      <c r="K231" t="s">
        <v>21</v>
      </c>
      <c r="L231" t="s">
        <v>22</v>
      </c>
      <c r="M231" t="str">
        <f t="shared" si="35"/>
        <v>1</v>
      </c>
      <c r="O231" t="str">
        <f t="shared" si="34"/>
        <v>1 </v>
      </c>
      <c r="P231">
        <v>28.2</v>
      </c>
      <c r="Q231" t="s">
        <v>23</v>
      </c>
    </row>
    <row r="232" spans="1:17" ht="15">
      <c r="A232" t="s">
        <v>17</v>
      </c>
      <c r="B232" s="1">
        <v>41807</v>
      </c>
      <c r="C232" t="s">
        <v>531</v>
      </c>
      <c r="D232" t="str">
        <f>CONCATENATE("0130017244","")</f>
        <v>0130017244</v>
      </c>
      <c r="E232" t="str">
        <f>CONCATENATE("0050120000533       ","")</f>
        <v>0050120000533       </v>
      </c>
      <c r="F232" t="str">
        <f>CONCATENATE("605761578","")</f>
        <v>605761578</v>
      </c>
      <c r="G232" t="s">
        <v>532</v>
      </c>
      <c r="H232" t="s">
        <v>533</v>
      </c>
      <c r="I232" t="s">
        <v>534</v>
      </c>
      <c r="J232" t="str">
        <f>CONCATENATE("080506","")</f>
        <v>080506</v>
      </c>
      <c r="K232" t="s">
        <v>21</v>
      </c>
      <c r="L232" t="s">
        <v>22</v>
      </c>
      <c r="M232" t="str">
        <f t="shared" si="35"/>
        <v>1</v>
      </c>
      <c r="O232" t="str">
        <f t="shared" si="34"/>
        <v>1 </v>
      </c>
      <c r="P232">
        <v>10.5</v>
      </c>
      <c r="Q232" t="s">
        <v>23</v>
      </c>
    </row>
    <row r="233" spans="1:17" ht="15">
      <c r="A233" t="s">
        <v>17</v>
      </c>
      <c r="B233" s="1">
        <v>41807</v>
      </c>
      <c r="C233" t="s">
        <v>531</v>
      </c>
      <c r="D233" t="str">
        <f>CONCATENATE("0130011190","")</f>
        <v>0130011190</v>
      </c>
      <c r="E233" t="str">
        <f>CONCATENATE("0050120000535       ","")</f>
        <v>0050120000535       </v>
      </c>
      <c r="F233" t="str">
        <f>CONCATENATE("0605772483","")</f>
        <v>0605772483</v>
      </c>
      <c r="G233" t="s">
        <v>532</v>
      </c>
      <c r="H233" t="s">
        <v>535</v>
      </c>
      <c r="I233" t="s">
        <v>536</v>
      </c>
      <c r="J233" t="str">
        <f>CONCATENATE("080506","")</f>
        <v>080506</v>
      </c>
      <c r="K233" t="s">
        <v>21</v>
      </c>
      <c r="L233" t="s">
        <v>22</v>
      </c>
      <c r="M233" t="str">
        <f t="shared" si="35"/>
        <v>1</v>
      </c>
      <c r="O233" t="str">
        <f t="shared" si="34"/>
        <v>1 </v>
      </c>
      <c r="P233">
        <v>18.8</v>
      </c>
      <c r="Q233" t="s">
        <v>23</v>
      </c>
    </row>
    <row r="234" spans="1:17" ht="15">
      <c r="A234" t="s">
        <v>17</v>
      </c>
      <c r="B234" s="1">
        <v>41807</v>
      </c>
      <c r="C234" t="s">
        <v>405</v>
      </c>
      <c r="D234" t="str">
        <f>CONCATENATE("0040030582","")</f>
        <v>0040030582</v>
      </c>
      <c r="E234" t="str">
        <f>CONCATENATE("0050124000095       ","")</f>
        <v>0050124000095       </v>
      </c>
      <c r="F234" t="str">
        <f>CONCATENATE("2185981","")</f>
        <v>2185981</v>
      </c>
      <c r="G234" t="s">
        <v>495</v>
      </c>
      <c r="H234" t="s">
        <v>537</v>
      </c>
      <c r="I234" t="s">
        <v>538</v>
      </c>
      <c r="J234" t="str">
        <f aca="true" t="shared" si="36" ref="J234:J245">CONCATENATE("080501","")</f>
        <v>080501</v>
      </c>
      <c r="K234" t="s">
        <v>21</v>
      </c>
      <c r="L234" t="s">
        <v>22</v>
      </c>
      <c r="M234" t="str">
        <f t="shared" si="35"/>
        <v>1</v>
      </c>
      <c r="O234" t="str">
        <f t="shared" si="34"/>
        <v>1 </v>
      </c>
      <c r="P234">
        <v>11.4</v>
      </c>
      <c r="Q234" t="s">
        <v>23</v>
      </c>
    </row>
    <row r="235" spans="1:17" ht="15">
      <c r="A235" t="s">
        <v>17</v>
      </c>
      <c r="B235" s="1">
        <v>41807</v>
      </c>
      <c r="C235" t="s">
        <v>405</v>
      </c>
      <c r="D235" t="str">
        <f>CONCATENATE("0130002269","")</f>
        <v>0130002269</v>
      </c>
      <c r="E235" t="str">
        <f>CONCATENATE("0050125000020       ","")</f>
        <v>0050125000020       </v>
      </c>
      <c r="F235" t="str">
        <f>CONCATENATE("605391953","")</f>
        <v>605391953</v>
      </c>
      <c r="G235" t="s">
        <v>539</v>
      </c>
      <c r="H235" t="s">
        <v>540</v>
      </c>
      <c r="I235" t="s">
        <v>541</v>
      </c>
      <c r="J235" t="str">
        <f t="shared" si="36"/>
        <v>080501</v>
      </c>
      <c r="K235" t="s">
        <v>21</v>
      </c>
      <c r="L235" t="s">
        <v>22</v>
      </c>
      <c r="M235" t="str">
        <f t="shared" si="35"/>
        <v>1</v>
      </c>
      <c r="O235" t="str">
        <f t="shared" si="34"/>
        <v>1 </v>
      </c>
      <c r="P235">
        <v>33.75</v>
      </c>
      <c r="Q235" t="s">
        <v>23</v>
      </c>
    </row>
    <row r="236" spans="1:17" ht="15">
      <c r="A236" t="s">
        <v>17</v>
      </c>
      <c r="B236" s="1">
        <v>41807</v>
      </c>
      <c r="C236" t="s">
        <v>405</v>
      </c>
      <c r="D236" t="str">
        <f>CONCATENATE("0130002345","")</f>
        <v>0130002345</v>
      </c>
      <c r="E236" t="str">
        <f>CONCATENATE("0050127000370       ","")</f>
        <v>0050127000370       </v>
      </c>
      <c r="F236" t="str">
        <f>CONCATENATE("605347713","")</f>
        <v>605347713</v>
      </c>
      <c r="G236" t="s">
        <v>539</v>
      </c>
      <c r="H236" t="s">
        <v>542</v>
      </c>
      <c r="I236" t="s">
        <v>543</v>
      </c>
      <c r="J236" t="str">
        <f t="shared" si="36"/>
        <v>080501</v>
      </c>
      <c r="K236" t="s">
        <v>21</v>
      </c>
      <c r="L236" t="s">
        <v>22</v>
      </c>
      <c r="M236" t="str">
        <f t="shared" si="35"/>
        <v>1</v>
      </c>
      <c r="O236" t="str">
        <f t="shared" si="34"/>
        <v>1 </v>
      </c>
      <c r="P236">
        <v>37</v>
      </c>
      <c r="Q236" t="s">
        <v>23</v>
      </c>
    </row>
    <row r="237" spans="1:17" ht="15">
      <c r="A237" t="s">
        <v>17</v>
      </c>
      <c r="B237" s="1">
        <v>41807</v>
      </c>
      <c r="C237" t="s">
        <v>405</v>
      </c>
      <c r="D237" t="str">
        <f>CONCATENATE("0130008716","")</f>
        <v>0130008716</v>
      </c>
      <c r="E237" t="str">
        <f>CONCATENATE("0050128000150       ","")</f>
        <v>0050128000150       </v>
      </c>
      <c r="F237" t="str">
        <f>CONCATENATE("605117595","")</f>
        <v>605117595</v>
      </c>
      <c r="G237" t="s">
        <v>544</v>
      </c>
      <c r="H237" t="s">
        <v>545</v>
      </c>
      <c r="I237" t="s">
        <v>546</v>
      </c>
      <c r="J237" t="str">
        <f t="shared" si="36"/>
        <v>080501</v>
      </c>
      <c r="K237" t="s">
        <v>21</v>
      </c>
      <c r="L237" t="s">
        <v>22</v>
      </c>
      <c r="M237" t="str">
        <f t="shared" si="35"/>
        <v>1</v>
      </c>
      <c r="O237" t="str">
        <f t="shared" si="34"/>
        <v>1 </v>
      </c>
      <c r="P237">
        <v>32.35</v>
      </c>
      <c r="Q237" t="s">
        <v>23</v>
      </c>
    </row>
    <row r="238" spans="1:17" ht="15">
      <c r="A238" t="s">
        <v>17</v>
      </c>
      <c r="B238" s="1">
        <v>41807</v>
      </c>
      <c r="C238" t="s">
        <v>405</v>
      </c>
      <c r="D238" t="str">
        <f>CONCATENATE("0040035710","")</f>
        <v>0040035710</v>
      </c>
      <c r="E238" t="str">
        <f>CONCATENATE("0050132000063       ","")</f>
        <v>0050132000063       </v>
      </c>
      <c r="F238" t="str">
        <f>CONCATENATE("606598638","")</f>
        <v>606598638</v>
      </c>
      <c r="G238" t="s">
        <v>547</v>
      </c>
      <c r="H238" t="s">
        <v>548</v>
      </c>
      <c r="I238" t="s">
        <v>549</v>
      </c>
      <c r="J238" t="str">
        <f t="shared" si="36"/>
        <v>080501</v>
      </c>
      <c r="K238" t="s">
        <v>21</v>
      </c>
      <c r="L238" t="s">
        <v>22</v>
      </c>
      <c r="M238" t="str">
        <f t="shared" si="35"/>
        <v>1</v>
      </c>
      <c r="O238" t="str">
        <f t="shared" si="34"/>
        <v>1 </v>
      </c>
      <c r="P238">
        <v>11.35</v>
      </c>
      <c r="Q238" t="s">
        <v>23</v>
      </c>
    </row>
    <row r="239" spans="1:17" ht="15">
      <c r="A239" t="s">
        <v>17</v>
      </c>
      <c r="B239" s="1">
        <v>41807</v>
      </c>
      <c r="C239" t="s">
        <v>405</v>
      </c>
      <c r="D239" t="str">
        <f>CONCATENATE("0130014710","")</f>
        <v>0130014710</v>
      </c>
      <c r="E239" t="str">
        <f>CONCATENATE("0050139000055       ","")</f>
        <v>0050139000055       </v>
      </c>
      <c r="F239" t="str">
        <f>CONCATENATE("605115073","")</f>
        <v>605115073</v>
      </c>
      <c r="G239" t="s">
        <v>550</v>
      </c>
      <c r="H239" t="s">
        <v>551</v>
      </c>
      <c r="I239" t="s">
        <v>552</v>
      </c>
      <c r="J239" t="str">
        <f t="shared" si="36"/>
        <v>080501</v>
      </c>
      <c r="K239" t="s">
        <v>21</v>
      </c>
      <c r="L239" t="s">
        <v>22</v>
      </c>
      <c r="M239" t="str">
        <f t="shared" si="35"/>
        <v>1</v>
      </c>
      <c r="O239" t="str">
        <f t="shared" si="34"/>
        <v>1 </v>
      </c>
      <c r="P239">
        <v>23.3</v>
      </c>
      <c r="Q239" t="s">
        <v>23</v>
      </c>
    </row>
    <row r="240" spans="1:17" ht="15">
      <c r="A240" t="s">
        <v>17</v>
      </c>
      <c r="B240" s="1">
        <v>41807</v>
      </c>
      <c r="C240" t="s">
        <v>405</v>
      </c>
      <c r="D240" t="str">
        <f>CONCATENATE("0130012028","")</f>
        <v>0130012028</v>
      </c>
      <c r="E240" t="str">
        <f>CONCATENATE("0050142000040       ","")</f>
        <v>0050142000040       </v>
      </c>
      <c r="F240" t="str">
        <f>CONCATENATE("1601302","")</f>
        <v>1601302</v>
      </c>
      <c r="G240" t="s">
        <v>553</v>
      </c>
      <c r="H240" t="s">
        <v>554</v>
      </c>
      <c r="I240" t="s">
        <v>555</v>
      </c>
      <c r="J240" t="str">
        <f t="shared" si="36"/>
        <v>080501</v>
      </c>
      <c r="K240" t="s">
        <v>21</v>
      </c>
      <c r="L240" t="s">
        <v>22</v>
      </c>
      <c r="M240" t="str">
        <f t="shared" si="35"/>
        <v>1</v>
      </c>
      <c r="O240" t="str">
        <f t="shared" si="34"/>
        <v>1 </v>
      </c>
      <c r="P240">
        <v>12.05</v>
      </c>
      <c r="Q240" t="s">
        <v>23</v>
      </c>
    </row>
    <row r="241" spans="1:17" ht="15">
      <c r="A241" t="s">
        <v>17</v>
      </c>
      <c r="B241" s="1">
        <v>41807</v>
      </c>
      <c r="C241" t="s">
        <v>405</v>
      </c>
      <c r="D241" t="str">
        <f>CONCATENATE("0130012299","")</f>
        <v>0130012299</v>
      </c>
      <c r="E241" t="str">
        <f>CONCATENATE("0050146000160       ","")</f>
        <v>0050146000160       </v>
      </c>
      <c r="F241" t="str">
        <f>CONCATENATE("1601537","")</f>
        <v>1601537</v>
      </c>
      <c r="G241" t="s">
        <v>556</v>
      </c>
      <c r="H241" t="s">
        <v>557</v>
      </c>
      <c r="I241" t="s">
        <v>558</v>
      </c>
      <c r="J241" t="str">
        <f t="shared" si="36"/>
        <v>080501</v>
      </c>
      <c r="K241" t="s">
        <v>21</v>
      </c>
      <c r="L241" t="s">
        <v>22</v>
      </c>
      <c r="M241" t="str">
        <f t="shared" si="35"/>
        <v>1</v>
      </c>
      <c r="O241" t="str">
        <f t="shared" si="34"/>
        <v>1 </v>
      </c>
      <c r="P241">
        <v>13.6</v>
      </c>
      <c r="Q241" t="s">
        <v>23</v>
      </c>
    </row>
    <row r="242" spans="1:17" ht="15">
      <c r="A242" t="s">
        <v>17</v>
      </c>
      <c r="B242" s="1">
        <v>41807</v>
      </c>
      <c r="C242" t="s">
        <v>405</v>
      </c>
      <c r="D242" t="str">
        <f>CONCATENATE("0130012754","")</f>
        <v>0130012754</v>
      </c>
      <c r="E242" t="str">
        <f>CONCATENATE("0050152000010       ","")</f>
        <v>0050152000010       </v>
      </c>
      <c r="F242" t="str">
        <f>CONCATENATE("1602404","")</f>
        <v>1602404</v>
      </c>
      <c r="G242" t="s">
        <v>559</v>
      </c>
      <c r="H242" t="s">
        <v>560</v>
      </c>
      <c r="I242" t="s">
        <v>561</v>
      </c>
      <c r="J242" t="str">
        <f t="shared" si="36"/>
        <v>080501</v>
      </c>
      <c r="K242" t="s">
        <v>21</v>
      </c>
      <c r="L242" t="s">
        <v>22</v>
      </c>
      <c r="M242" t="str">
        <f t="shared" si="35"/>
        <v>1</v>
      </c>
      <c r="O242" t="str">
        <f>CONCATENATE("2 ","")</f>
        <v>2 </v>
      </c>
      <c r="P242">
        <v>16.25</v>
      </c>
      <c r="Q242" t="s">
        <v>23</v>
      </c>
    </row>
    <row r="243" spans="1:17" ht="15">
      <c r="A243" t="s">
        <v>17</v>
      </c>
      <c r="B243" s="1">
        <v>41807</v>
      </c>
      <c r="C243" t="s">
        <v>405</v>
      </c>
      <c r="D243" t="str">
        <f>CONCATENATE("0040027657","")</f>
        <v>0040027657</v>
      </c>
      <c r="E243" t="str">
        <f>CONCATENATE("0050152000490       ","")</f>
        <v>0050152000490       </v>
      </c>
      <c r="F243" t="str">
        <f>CONCATENATE("1869644","")</f>
        <v>1869644</v>
      </c>
      <c r="G243" t="s">
        <v>559</v>
      </c>
      <c r="H243" t="s">
        <v>562</v>
      </c>
      <c r="I243" t="s">
        <v>563</v>
      </c>
      <c r="J243" t="str">
        <f t="shared" si="36"/>
        <v>080501</v>
      </c>
      <c r="K243" t="s">
        <v>21</v>
      </c>
      <c r="L243" t="s">
        <v>22</v>
      </c>
      <c r="M243" t="str">
        <f t="shared" si="35"/>
        <v>1</v>
      </c>
      <c r="O243" t="str">
        <f>CONCATENATE("2 ","")</f>
        <v>2 </v>
      </c>
      <c r="P243">
        <v>17.9</v>
      </c>
      <c r="Q243" t="s">
        <v>23</v>
      </c>
    </row>
    <row r="244" spans="1:17" ht="15">
      <c r="A244" t="s">
        <v>17</v>
      </c>
      <c r="B244" s="1">
        <v>41807</v>
      </c>
      <c r="C244" t="s">
        <v>405</v>
      </c>
      <c r="D244" t="str">
        <f>CONCATENATE("0130015420","")</f>
        <v>0130015420</v>
      </c>
      <c r="E244" t="str">
        <f>CONCATENATE("0050152000610       ","")</f>
        <v>0050152000610       </v>
      </c>
      <c r="F244" t="str">
        <f>CONCATENATE("605287807","")</f>
        <v>605287807</v>
      </c>
      <c r="G244" t="s">
        <v>559</v>
      </c>
      <c r="H244" t="s">
        <v>564</v>
      </c>
      <c r="I244" t="s">
        <v>565</v>
      </c>
      <c r="J244" t="str">
        <f t="shared" si="36"/>
        <v>080501</v>
      </c>
      <c r="K244" t="s">
        <v>21</v>
      </c>
      <c r="L244" t="s">
        <v>22</v>
      </c>
      <c r="M244" t="str">
        <f t="shared" si="35"/>
        <v>1</v>
      </c>
      <c r="O244" t="str">
        <f aca="true" t="shared" si="37" ref="O244:O265">CONCATENATE("1 ","")</f>
        <v>1 </v>
      </c>
      <c r="P244">
        <v>10.45</v>
      </c>
      <c r="Q244" t="s">
        <v>23</v>
      </c>
    </row>
    <row r="245" spans="1:17" ht="15">
      <c r="A245" t="s">
        <v>17</v>
      </c>
      <c r="B245" s="1">
        <v>41807</v>
      </c>
      <c r="C245" t="s">
        <v>405</v>
      </c>
      <c r="D245" t="str">
        <f>CONCATENATE("0130020208","")</f>
        <v>0130020208</v>
      </c>
      <c r="E245" t="str">
        <f>CONCATENATE("0050159002030       ","")</f>
        <v>0050159002030       </v>
      </c>
      <c r="F245" t="str">
        <f>CONCATENATE("0606029614","")</f>
        <v>0606029614</v>
      </c>
      <c r="G245" t="s">
        <v>566</v>
      </c>
      <c r="H245" t="s">
        <v>567</v>
      </c>
      <c r="I245" t="s">
        <v>568</v>
      </c>
      <c r="J245" t="str">
        <f t="shared" si="36"/>
        <v>080501</v>
      </c>
      <c r="K245" t="s">
        <v>21</v>
      </c>
      <c r="L245" t="s">
        <v>22</v>
      </c>
      <c r="M245" t="str">
        <f t="shared" si="35"/>
        <v>1</v>
      </c>
      <c r="O245" t="str">
        <f t="shared" si="37"/>
        <v>1 </v>
      </c>
      <c r="P245">
        <v>12.85</v>
      </c>
      <c r="Q245" t="s">
        <v>23</v>
      </c>
    </row>
    <row r="246" spans="1:17" ht="15">
      <c r="A246" t="s">
        <v>17</v>
      </c>
      <c r="B246" s="1">
        <v>41807</v>
      </c>
      <c r="C246" t="s">
        <v>531</v>
      </c>
      <c r="D246" t="str">
        <f>CONCATENATE("0130010645","")</f>
        <v>0130010645</v>
      </c>
      <c r="E246" t="str">
        <f>CONCATENATE("0050601000033       ","")</f>
        <v>0050601000033       </v>
      </c>
      <c r="F246" t="str">
        <f>CONCATENATE("507008864","")</f>
        <v>507008864</v>
      </c>
      <c r="G246" t="s">
        <v>569</v>
      </c>
      <c r="H246" t="s">
        <v>570</v>
      </c>
      <c r="I246" t="s">
        <v>571</v>
      </c>
      <c r="J246" t="str">
        <f aca="true" t="shared" si="38" ref="J246:J262">CONCATENATE("080506","")</f>
        <v>080506</v>
      </c>
      <c r="K246" t="s">
        <v>21</v>
      </c>
      <c r="L246" t="s">
        <v>22</v>
      </c>
      <c r="M246" t="str">
        <f>CONCATENATE("3","")</f>
        <v>3</v>
      </c>
      <c r="O246" t="str">
        <f t="shared" si="37"/>
        <v>1 </v>
      </c>
      <c r="P246">
        <v>51.6</v>
      </c>
      <c r="Q246" t="s">
        <v>68</v>
      </c>
    </row>
    <row r="247" spans="1:17" ht="15">
      <c r="A247" t="s">
        <v>17</v>
      </c>
      <c r="B247" s="1">
        <v>41807</v>
      </c>
      <c r="C247" t="s">
        <v>531</v>
      </c>
      <c r="D247" t="str">
        <f>CONCATENATE("0130002349","")</f>
        <v>0130002349</v>
      </c>
      <c r="E247" t="str">
        <f>CONCATENATE("0050601000060       ","")</f>
        <v>0050601000060       </v>
      </c>
      <c r="F247" t="str">
        <f>CONCATENATE("605391779","")</f>
        <v>605391779</v>
      </c>
      <c r="G247" t="s">
        <v>569</v>
      </c>
      <c r="H247" t="s">
        <v>572</v>
      </c>
      <c r="I247" t="s">
        <v>408</v>
      </c>
      <c r="J247" t="str">
        <f t="shared" si="38"/>
        <v>080506</v>
      </c>
      <c r="K247" t="s">
        <v>21</v>
      </c>
      <c r="L247" t="s">
        <v>22</v>
      </c>
      <c r="M247" t="str">
        <f aca="true" t="shared" si="39" ref="M247:M253">CONCATENATE("1","")</f>
        <v>1</v>
      </c>
      <c r="O247" t="str">
        <f t="shared" si="37"/>
        <v>1 </v>
      </c>
      <c r="P247">
        <v>11.45</v>
      </c>
      <c r="Q247" t="s">
        <v>23</v>
      </c>
    </row>
    <row r="248" spans="1:17" ht="15">
      <c r="A248" t="s">
        <v>17</v>
      </c>
      <c r="B248" s="1">
        <v>41807</v>
      </c>
      <c r="C248" t="s">
        <v>531</v>
      </c>
      <c r="D248" t="str">
        <f>CONCATENATE("0040034861","")</f>
        <v>0040034861</v>
      </c>
      <c r="E248" t="str">
        <f>CONCATENATE("0050601000105       ","")</f>
        <v>0050601000105       </v>
      </c>
      <c r="F248" t="str">
        <f>CONCATENATE("606675574","")</f>
        <v>606675574</v>
      </c>
      <c r="G248" t="s">
        <v>569</v>
      </c>
      <c r="H248" t="s">
        <v>573</v>
      </c>
      <c r="I248" t="s">
        <v>408</v>
      </c>
      <c r="J248" t="str">
        <f t="shared" si="38"/>
        <v>080506</v>
      </c>
      <c r="K248" t="s">
        <v>21</v>
      </c>
      <c r="L248" t="s">
        <v>22</v>
      </c>
      <c r="M248" t="str">
        <f t="shared" si="39"/>
        <v>1</v>
      </c>
      <c r="O248" t="str">
        <f t="shared" si="37"/>
        <v>1 </v>
      </c>
      <c r="P248">
        <v>61.15</v>
      </c>
      <c r="Q248" t="s">
        <v>23</v>
      </c>
    </row>
    <row r="249" spans="1:17" ht="15">
      <c r="A249" t="s">
        <v>17</v>
      </c>
      <c r="B249" s="1">
        <v>41807</v>
      </c>
      <c r="C249" t="s">
        <v>531</v>
      </c>
      <c r="D249" t="str">
        <f>CONCATENATE("0130002350","")</f>
        <v>0130002350</v>
      </c>
      <c r="E249" t="str">
        <f>CONCATENATE("0050601000110       ","")</f>
        <v>0050601000110       </v>
      </c>
      <c r="F249" t="str">
        <f>CONCATENATE("605120020","")</f>
        <v>605120020</v>
      </c>
      <c r="G249" t="s">
        <v>569</v>
      </c>
      <c r="H249" t="s">
        <v>574</v>
      </c>
      <c r="I249" t="s">
        <v>408</v>
      </c>
      <c r="J249" t="str">
        <f t="shared" si="38"/>
        <v>080506</v>
      </c>
      <c r="K249" t="s">
        <v>21</v>
      </c>
      <c r="L249" t="s">
        <v>22</v>
      </c>
      <c r="M249" t="str">
        <f t="shared" si="39"/>
        <v>1</v>
      </c>
      <c r="O249" t="str">
        <f t="shared" si="37"/>
        <v>1 </v>
      </c>
      <c r="P249">
        <v>11.7</v>
      </c>
      <c r="Q249" t="s">
        <v>23</v>
      </c>
    </row>
    <row r="250" spans="1:17" ht="15">
      <c r="A250" t="s">
        <v>17</v>
      </c>
      <c r="B250" s="1">
        <v>41807</v>
      </c>
      <c r="C250" t="s">
        <v>531</v>
      </c>
      <c r="D250" t="str">
        <f>CONCATENATE("0130002357","")</f>
        <v>0130002357</v>
      </c>
      <c r="E250" t="str">
        <f>CONCATENATE("0050601000180       ","")</f>
        <v>0050601000180       </v>
      </c>
      <c r="F250" t="str">
        <f>CONCATENATE("605392762","")</f>
        <v>605392762</v>
      </c>
      <c r="G250" t="s">
        <v>569</v>
      </c>
      <c r="H250" t="s">
        <v>575</v>
      </c>
      <c r="I250" t="s">
        <v>576</v>
      </c>
      <c r="J250" t="str">
        <f t="shared" si="38"/>
        <v>080506</v>
      </c>
      <c r="K250" t="s">
        <v>21</v>
      </c>
      <c r="L250" t="s">
        <v>22</v>
      </c>
      <c r="M250" t="str">
        <f t="shared" si="39"/>
        <v>1</v>
      </c>
      <c r="O250" t="str">
        <f t="shared" si="37"/>
        <v>1 </v>
      </c>
      <c r="P250">
        <v>48</v>
      </c>
      <c r="Q250" t="s">
        <v>23</v>
      </c>
    </row>
    <row r="251" spans="1:17" ht="15">
      <c r="A251" t="s">
        <v>17</v>
      </c>
      <c r="B251" s="1">
        <v>41807</v>
      </c>
      <c r="C251" t="s">
        <v>531</v>
      </c>
      <c r="D251" t="str">
        <f>CONCATENATE("0130017105","")</f>
        <v>0130017105</v>
      </c>
      <c r="E251" t="str">
        <f>CONCATENATE("0050601000324       ","")</f>
        <v>0050601000324       </v>
      </c>
      <c r="F251" t="str">
        <f>CONCATENATE("605757845","")</f>
        <v>605757845</v>
      </c>
      <c r="G251" t="s">
        <v>569</v>
      </c>
      <c r="H251" t="s">
        <v>577</v>
      </c>
      <c r="I251" t="s">
        <v>578</v>
      </c>
      <c r="J251" t="str">
        <f t="shared" si="38"/>
        <v>080506</v>
      </c>
      <c r="K251" t="s">
        <v>21</v>
      </c>
      <c r="L251" t="s">
        <v>22</v>
      </c>
      <c r="M251" t="str">
        <f t="shared" si="39"/>
        <v>1</v>
      </c>
      <c r="O251" t="str">
        <f t="shared" si="37"/>
        <v>1 </v>
      </c>
      <c r="P251">
        <v>14.15</v>
      </c>
      <c r="Q251" t="s">
        <v>23</v>
      </c>
    </row>
    <row r="252" spans="1:17" ht="15">
      <c r="A252" t="s">
        <v>17</v>
      </c>
      <c r="B252" s="1">
        <v>41807</v>
      </c>
      <c r="C252" t="s">
        <v>531</v>
      </c>
      <c r="D252" t="str">
        <f>CONCATENATE("0130002389","")</f>
        <v>0130002389</v>
      </c>
      <c r="E252" t="str">
        <f>CONCATENATE("0050601000650       ","")</f>
        <v>0050601000650       </v>
      </c>
      <c r="F252" t="str">
        <f>CONCATENATE("605392769","")</f>
        <v>605392769</v>
      </c>
      <c r="G252" t="s">
        <v>569</v>
      </c>
      <c r="H252" t="s">
        <v>579</v>
      </c>
      <c r="I252" t="s">
        <v>227</v>
      </c>
      <c r="J252" t="str">
        <f t="shared" si="38"/>
        <v>080506</v>
      </c>
      <c r="K252" t="s">
        <v>21</v>
      </c>
      <c r="L252" t="s">
        <v>22</v>
      </c>
      <c r="M252" t="str">
        <f t="shared" si="39"/>
        <v>1</v>
      </c>
      <c r="O252" t="str">
        <f t="shared" si="37"/>
        <v>1 </v>
      </c>
      <c r="P252">
        <v>14.6</v>
      </c>
      <c r="Q252" t="s">
        <v>23</v>
      </c>
    </row>
    <row r="253" spans="1:17" ht="15">
      <c r="A253" t="s">
        <v>17</v>
      </c>
      <c r="B253" s="1">
        <v>41807</v>
      </c>
      <c r="C253" t="s">
        <v>531</v>
      </c>
      <c r="D253" t="str">
        <f>CONCATENATE("0130002422","")</f>
        <v>0130002422</v>
      </c>
      <c r="E253" t="str">
        <f>CONCATENATE("0050601001530       ","")</f>
        <v>0050601001530       </v>
      </c>
      <c r="F253" t="str">
        <f>CONCATENATE("605392766","")</f>
        <v>605392766</v>
      </c>
      <c r="G253" t="s">
        <v>569</v>
      </c>
      <c r="H253" t="s">
        <v>580</v>
      </c>
      <c r="I253" t="s">
        <v>581</v>
      </c>
      <c r="J253" t="str">
        <f t="shared" si="38"/>
        <v>080506</v>
      </c>
      <c r="K253" t="s">
        <v>21</v>
      </c>
      <c r="L253" t="s">
        <v>22</v>
      </c>
      <c r="M253" t="str">
        <f t="shared" si="39"/>
        <v>1</v>
      </c>
      <c r="O253" t="str">
        <f t="shared" si="37"/>
        <v>1 </v>
      </c>
      <c r="P253">
        <v>21.25</v>
      </c>
      <c r="Q253" t="s">
        <v>23</v>
      </c>
    </row>
    <row r="254" spans="1:17" ht="15">
      <c r="A254" t="s">
        <v>17</v>
      </c>
      <c r="B254" s="1">
        <v>41807</v>
      </c>
      <c r="C254" t="s">
        <v>531</v>
      </c>
      <c r="D254" t="str">
        <f>CONCATENATE("0130012926","")</f>
        <v>0130012926</v>
      </c>
      <c r="E254" t="str">
        <f>CONCATENATE("0050602000025       ","")</f>
        <v>0050602000025       </v>
      </c>
      <c r="F254" t="str">
        <f>CONCATENATE("00005634256","")</f>
        <v>00005634256</v>
      </c>
      <c r="G254" t="s">
        <v>569</v>
      </c>
      <c r="H254" t="s">
        <v>582</v>
      </c>
      <c r="I254" t="s">
        <v>583</v>
      </c>
      <c r="J254" t="str">
        <f t="shared" si="38"/>
        <v>080506</v>
      </c>
      <c r="K254" t="s">
        <v>21</v>
      </c>
      <c r="L254" t="s">
        <v>22</v>
      </c>
      <c r="M254" t="str">
        <f>CONCATENATE("3","")</f>
        <v>3</v>
      </c>
      <c r="O254" t="str">
        <f t="shared" si="37"/>
        <v>1 </v>
      </c>
      <c r="P254">
        <v>46.25</v>
      </c>
      <c r="Q254" t="s">
        <v>68</v>
      </c>
    </row>
    <row r="255" spans="1:17" ht="15">
      <c r="A255" t="s">
        <v>17</v>
      </c>
      <c r="B255" s="1">
        <v>41807</v>
      </c>
      <c r="C255" t="s">
        <v>531</v>
      </c>
      <c r="D255" t="str">
        <f>CONCATENATE("0130020577","")</f>
        <v>0130020577</v>
      </c>
      <c r="E255" t="str">
        <f>CONCATENATE("0050602000235       ","")</f>
        <v>0050602000235       </v>
      </c>
      <c r="F255" t="str">
        <f>CONCATENATE("1670955","")</f>
        <v>1670955</v>
      </c>
      <c r="G255" t="s">
        <v>569</v>
      </c>
      <c r="H255" t="s">
        <v>584</v>
      </c>
      <c r="I255" t="s">
        <v>585</v>
      </c>
      <c r="J255" t="str">
        <f t="shared" si="38"/>
        <v>080506</v>
      </c>
      <c r="K255" t="s">
        <v>21</v>
      </c>
      <c r="L255" t="s">
        <v>22</v>
      </c>
      <c r="M255" t="str">
        <f aca="true" t="shared" si="40" ref="M255:M293">CONCATENATE("1","")</f>
        <v>1</v>
      </c>
      <c r="O255" t="str">
        <f t="shared" si="37"/>
        <v>1 </v>
      </c>
      <c r="P255">
        <v>54.15</v>
      </c>
      <c r="Q255" t="s">
        <v>23</v>
      </c>
    </row>
    <row r="256" spans="1:17" ht="15">
      <c r="A256" t="s">
        <v>17</v>
      </c>
      <c r="B256" s="1">
        <v>41807</v>
      </c>
      <c r="C256" t="s">
        <v>531</v>
      </c>
      <c r="D256" t="str">
        <f>CONCATENATE("0130019155","")</f>
        <v>0130019155</v>
      </c>
      <c r="E256" t="str">
        <f>CONCATENATE("0050602000405       ","")</f>
        <v>0050602000405       </v>
      </c>
      <c r="F256" t="str">
        <f>CONCATENATE("605934221","")</f>
        <v>605934221</v>
      </c>
      <c r="G256" t="s">
        <v>569</v>
      </c>
      <c r="H256" t="s">
        <v>586</v>
      </c>
      <c r="I256" t="s">
        <v>587</v>
      </c>
      <c r="J256" t="str">
        <f t="shared" si="38"/>
        <v>080506</v>
      </c>
      <c r="K256" t="s">
        <v>21</v>
      </c>
      <c r="L256" t="s">
        <v>22</v>
      </c>
      <c r="M256" t="str">
        <f t="shared" si="40"/>
        <v>1</v>
      </c>
      <c r="O256" t="str">
        <f t="shared" si="37"/>
        <v>1 </v>
      </c>
      <c r="P256">
        <v>38.6</v>
      </c>
      <c r="Q256" t="s">
        <v>23</v>
      </c>
    </row>
    <row r="257" spans="1:17" ht="15">
      <c r="A257" t="s">
        <v>17</v>
      </c>
      <c r="B257" s="1">
        <v>41807</v>
      </c>
      <c r="C257" t="s">
        <v>531</v>
      </c>
      <c r="D257" t="str">
        <f>CONCATENATE("0130002464","")</f>
        <v>0130002464</v>
      </c>
      <c r="E257" t="str">
        <f>CONCATENATE("0050620000190       ","")</f>
        <v>0050620000190       </v>
      </c>
      <c r="F257" t="str">
        <f>CONCATENATE("605351721","")</f>
        <v>605351721</v>
      </c>
      <c r="G257" t="s">
        <v>588</v>
      </c>
      <c r="H257" t="s">
        <v>589</v>
      </c>
      <c r="I257" t="s">
        <v>590</v>
      </c>
      <c r="J257" t="str">
        <f t="shared" si="38"/>
        <v>080506</v>
      </c>
      <c r="K257" t="s">
        <v>21</v>
      </c>
      <c r="L257" t="s">
        <v>22</v>
      </c>
      <c r="M257" t="str">
        <f t="shared" si="40"/>
        <v>1</v>
      </c>
      <c r="O257" t="str">
        <f t="shared" si="37"/>
        <v>1 </v>
      </c>
      <c r="P257">
        <v>15.4</v>
      </c>
      <c r="Q257" t="s">
        <v>23</v>
      </c>
    </row>
    <row r="258" spans="1:17" ht="15">
      <c r="A258" t="s">
        <v>17</v>
      </c>
      <c r="B258" s="1">
        <v>41807</v>
      </c>
      <c r="C258" t="s">
        <v>531</v>
      </c>
      <c r="D258" t="str">
        <f>CONCATENATE("0130020064","")</f>
        <v>0130020064</v>
      </c>
      <c r="E258" t="str">
        <f>CONCATENATE("0050620000225       ","")</f>
        <v>0050620000225       </v>
      </c>
      <c r="F258" t="str">
        <f>CONCATENATE("606135476","")</f>
        <v>606135476</v>
      </c>
      <c r="G258" t="s">
        <v>588</v>
      </c>
      <c r="H258" t="s">
        <v>591</v>
      </c>
      <c r="I258" t="s">
        <v>592</v>
      </c>
      <c r="J258" t="str">
        <f t="shared" si="38"/>
        <v>080506</v>
      </c>
      <c r="K258" t="s">
        <v>21</v>
      </c>
      <c r="L258" t="s">
        <v>22</v>
      </c>
      <c r="M258" t="str">
        <f t="shared" si="40"/>
        <v>1</v>
      </c>
      <c r="O258" t="str">
        <f t="shared" si="37"/>
        <v>1 </v>
      </c>
      <c r="P258">
        <v>47.2</v>
      </c>
      <c r="Q258" t="s">
        <v>23</v>
      </c>
    </row>
    <row r="259" spans="1:17" ht="15">
      <c r="A259" t="s">
        <v>17</v>
      </c>
      <c r="B259" s="1">
        <v>41807</v>
      </c>
      <c r="C259" t="s">
        <v>531</v>
      </c>
      <c r="D259" t="str">
        <f>CONCATENATE("0130002471","")</f>
        <v>0130002471</v>
      </c>
      <c r="E259" t="str">
        <f>CONCATENATE("0050620000310       ","")</f>
        <v>0050620000310       </v>
      </c>
      <c r="F259" t="str">
        <f>CONCATENATE("605119983","")</f>
        <v>605119983</v>
      </c>
      <c r="G259" t="s">
        <v>588</v>
      </c>
      <c r="H259" t="s">
        <v>593</v>
      </c>
      <c r="I259" t="s">
        <v>590</v>
      </c>
      <c r="J259" t="str">
        <f t="shared" si="38"/>
        <v>080506</v>
      </c>
      <c r="K259" t="s">
        <v>21</v>
      </c>
      <c r="L259" t="s">
        <v>22</v>
      </c>
      <c r="M259" t="str">
        <f t="shared" si="40"/>
        <v>1</v>
      </c>
      <c r="O259" t="str">
        <f t="shared" si="37"/>
        <v>1 </v>
      </c>
      <c r="P259">
        <v>37.15</v>
      </c>
      <c r="Q259" t="s">
        <v>23</v>
      </c>
    </row>
    <row r="260" spans="1:17" ht="15">
      <c r="A260" t="s">
        <v>17</v>
      </c>
      <c r="B260" s="1">
        <v>41807</v>
      </c>
      <c r="C260" t="s">
        <v>531</v>
      </c>
      <c r="D260" t="str">
        <f>CONCATENATE("0130019635","")</f>
        <v>0130019635</v>
      </c>
      <c r="E260" t="str">
        <f>CONCATENATE("0050620000555       ","")</f>
        <v>0050620000555       </v>
      </c>
      <c r="F260" t="str">
        <f>CONCATENATE("605933646","")</f>
        <v>605933646</v>
      </c>
      <c r="G260" t="s">
        <v>588</v>
      </c>
      <c r="H260" t="s">
        <v>594</v>
      </c>
      <c r="I260" t="s">
        <v>595</v>
      </c>
      <c r="J260" t="str">
        <f t="shared" si="38"/>
        <v>080506</v>
      </c>
      <c r="K260" t="s">
        <v>21</v>
      </c>
      <c r="L260" t="s">
        <v>22</v>
      </c>
      <c r="M260" t="str">
        <f t="shared" si="40"/>
        <v>1</v>
      </c>
      <c r="O260" t="str">
        <f t="shared" si="37"/>
        <v>1 </v>
      </c>
      <c r="P260">
        <v>55.05</v>
      </c>
      <c r="Q260" t="s">
        <v>23</v>
      </c>
    </row>
    <row r="261" spans="1:17" ht="15">
      <c r="A261" t="s">
        <v>17</v>
      </c>
      <c r="B261" s="1">
        <v>41807</v>
      </c>
      <c r="C261" t="s">
        <v>531</v>
      </c>
      <c r="D261" t="str">
        <f>CONCATENATE("0130002496","")</f>
        <v>0130002496</v>
      </c>
      <c r="E261" t="str">
        <f>CONCATENATE("0050620000640       ","")</f>
        <v>0050620000640       </v>
      </c>
      <c r="F261" t="str">
        <f>CONCATENATE("605555192","")</f>
        <v>605555192</v>
      </c>
      <c r="G261" t="s">
        <v>588</v>
      </c>
      <c r="H261" t="s">
        <v>596</v>
      </c>
      <c r="I261" t="s">
        <v>590</v>
      </c>
      <c r="J261" t="str">
        <f t="shared" si="38"/>
        <v>080506</v>
      </c>
      <c r="K261" t="s">
        <v>21</v>
      </c>
      <c r="L261" t="s">
        <v>22</v>
      </c>
      <c r="M261" t="str">
        <f t="shared" si="40"/>
        <v>1</v>
      </c>
      <c r="O261" t="str">
        <f t="shared" si="37"/>
        <v>1 </v>
      </c>
      <c r="P261">
        <v>11.4</v>
      </c>
      <c r="Q261" t="s">
        <v>23</v>
      </c>
    </row>
    <row r="262" spans="1:17" ht="15">
      <c r="A262" t="s">
        <v>17</v>
      </c>
      <c r="B262" s="1">
        <v>41807</v>
      </c>
      <c r="C262" t="s">
        <v>531</v>
      </c>
      <c r="D262" t="str">
        <f>CONCATENATE("0130002523","")</f>
        <v>0130002523</v>
      </c>
      <c r="E262" t="str">
        <f>CONCATENATE("0050620001120       ","")</f>
        <v>0050620001120       </v>
      </c>
      <c r="F262" t="str">
        <f>CONCATENATE("606604212","")</f>
        <v>606604212</v>
      </c>
      <c r="G262" t="s">
        <v>588</v>
      </c>
      <c r="H262" t="s">
        <v>597</v>
      </c>
      <c r="I262" t="s">
        <v>590</v>
      </c>
      <c r="J262" t="str">
        <f t="shared" si="38"/>
        <v>080506</v>
      </c>
      <c r="K262" t="s">
        <v>21</v>
      </c>
      <c r="L262" t="s">
        <v>22</v>
      </c>
      <c r="M262" t="str">
        <f t="shared" si="40"/>
        <v>1</v>
      </c>
      <c r="O262" t="str">
        <f t="shared" si="37"/>
        <v>1 </v>
      </c>
      <c r="P262">
        <v>16.7</v>
      </c>
      <c r="Q262" t="s">
        <v>23</v>
      </c>
    </row>
    <row r="263" spans="1:17" ht="15">
      <c r="A263" t="s">
        <v>17</v>
      </c>
      <c r="B263" s="1">
        <v>41807</v>
      </c>
      <c r="C263" t="s">
        <v>173</v>
      </c>
      <c r="D263" t="str">
        <f>CONCATENATE("0130002558","")</f>
        <v>0130002558</v>
      </c>
      <c r="E263" t="str">
        <f>CONCATENATE("0050626000050       ","")</f>
        <v>0050626000050       </v>
      </c>
      <c r="F263" t="str">
        <f>CONCATENATE("605397378","")</f>
        <v>605397378</v>
      </c>
      <c r="G263" t="s">
        <v>598</v>
      </c>
      <c r="H263" t="s">
        <v>599</v>
      </c>
      <c r="I263" t="s">
        <v>600</v>
      </c>
      <c r="J263" t="str">
        <f>CONCATENATE("080204","")</f>
        <v>080204</v>
      </c>
      <c r="K263" t="s">
        <v>21</v>
      </c>
      <c r="L263" t="s">
        <v>22</v>
      </c>
      <c r="M263" t="str">
        <f t="shared" si="40"/>
        <v>1</v>
      </c>
      <c r="O263" t="str">
        <f t="shared" si="37"/>
        <v>1 </v>
      </c>
      <c r="P263">
        <v>48.9</v>
      </c>
      <c r="Q263" t="s">
        <v>23</v>
      </c>
    </row>
    <row r="264" spans="1:17" ht="15">
      <c r="A264" t="s">
        <v>17</v>
      </c>
      <c r="B264" s="1">
        <v>41807</v>
      </c>
      <c r="C264" t="s">
        <v>531</v>
      </c>
      <c r="D264" t="str">
        <f>CONCATENATE("0130002564","")</f>
        <v>0130002564</v>
      </c>
      <c r="E264" t="str">
        <f>CONCATENATE("0050626000130       ","")</f>
        <v>0050626000130       </v>
      </c>
      <c r="F264" t="str">
        <f>CONCATENATE("606600256","")</f>
        <v>606600256</v>
      </c>
      <c r="G264" t="s">
        <v>598</v>
      </c>
      <c r="H264" t="s">
        <v>601</v>
      </c>
      <c r="I264" t="s">
        <v>602</v>
      </c>
      <c r="J264" t="str">
        <f>CONCATENATE("080506","")</f>
        <v>080506</v>
      </c>
      <c r="K264" t="s">
        <v>21</v>
      </c>
      <c r="L264" t="s">
        <v>22</v>
      </c>
      <c r="M264" t="str">
        <f t="shared" si="40"/>
        <v>1</v>
      </c>
      <c r="O264" t="str">
        <f t="shared" si="37"/>
        <v>1 </v>
      </c>
      <c r="P264">
        <v>30.25</v>
      </c>
      <c r="Q264" t="s">
        <v>23</v>
      </c>
    </row>
    <row r="265" spans="1:17" ht="15">
      <c r="A265" t="s">
        <v>17</v>
      </c>
      <c r="B265" s="1">
        <v>41807</v>
      </c>
      <c r="C265" t="s">
        <v>531</v>
      </c>
      <c r="D265" t="str">
        <f>CONCATENATE("0130002565","")</f>
        <v>0130002565</v>
      </c>
      <c r="E265" t="str">
        <f>CONCATENATE("0050626000140       ","")</f>
        <v>0050626000140       </v>
      </c>
      <c r="F265" t="str">
        <f>CONCATENATE("605742644","")</f>
        <v>605742644</v>
      </c>
      <c r="G265" t="s">
        <v>598</v>
      </c>
      <c r="H265" t="s">
        <v>603</v>
      </c>
      <c r="I265" t="s">
        <v>600</v>
      </c>
      <c r="J265" t="str">
        <f>CONCATENATE("080506","")</f>
        <v>080506</v>
      </c>
      <c r="K265" t="s">
        <v>21</v>
      </c>
      <c r="L265" t="s">
        <v>22</v>
      </c>
      <c r="M265" t="str">
        <f t="shared" si="40"/>
        <v>1</v>
      </c>
      <c r="O265" t="str">
        <f t="shared" si="37"/>
        <v>1 </v>
      </c>
      <c r="P265">
        <v>16.4</v>
      </c>
      <c r="Q265" t="s">
        <v>23</v>
      </c>
    </row>
    <row r="266" spans="1:17" ht="15">
      <c r="A266" t="s">
        <v>17</v>
      </c>
      <c r="B266" s="1">
        <v>41807</v>
      </c>
      <c r="C266" t="s">
        <v>277</v>
      </c>
      <c r="D266" t="str">
        <f>CONCATENATE("0130017196","")</f>
        <v>0130017196</v>
      </c>
      <c r="E266" t="str">
        <f>CONCATENATE("0050801000138       ","")</f>
        <v>0050801000138       </v>
      </c>
      <c r="F266" t="str">
        <f>CONCATENATE("605766492","")</f>
        <v>605766492</v>
      </c>
      <c r="G266" t="s">
        <v>604</v>
      </c>
      <c r="H266" t="s">
        <v>605</v>
      </c>
      <c r="I266" t="s">
        <v>606</v>
      </c>
      <c r="J266" t="str">
        <f>CONCATENATE("080508","")</f>
        <v>080508</v>
      </c>
      <c r="K266" t="s">
        <v>21</v>
      </c>
      <c r="L266" t="s">
        <v>22</v>
      </c>
      <c r="M266" t="str">
        <f t="shared" si="40"/>
        <v>1</v>
      </c>
      <c r="O266" t="str">
        <f>CONCATENATE("2 ","")</f>
        <v>2 </v>
      </c>
      <c r="P266">
        <v>33.65</v>
      </c>
      <c r="Q266" t="s">
        <v>23</v>
      </c>
    </row>
    <row r="267" spans="1:17" ht="15">
      <c r="A267" t="s">
        <v>17</v>
      </c>
      <c r="B267" s="1">
        <v>41807</v>
      </c>
      <c r="C267" t="s">
        <v>277</v>
      </c>
      <c r="D267" t="str">
        <f>CONCATENATE("0130007697","")</f>
        <v>0130007697</v>
      </c>
      <c r="E267" t="str">
        <f>CONCATENATE("0050801000520       ","")</f>
        <v>0050801000520       </v>
      </c>
      <c r="F267" t="str">
        <f>CONCATENATE("605119722","")</f>
        <v>605119722</v>
      </c>
      <c r="G267" t="s">
        <v>604</v>
      </c>
      <c r="H267" t="s">
        <v>607</v>
      </c>
      <c r="I267" t="s">
        <v>608</v>
      </c>
      <c r="J267" t="str">
        <f>CONCATENATE("080508","")</f>
        <v>080508</v>
      </c>
      <c r="K267" t="s">
        <v>21</v>
      </c>
      <c r="L267" t="s">
        <v>22</v>
      </c>
      <c r="M267" t="str">
        <f t="shared" si="40"/>
        <v>1</v>
      </c>
      <c r="O267" t="str">
        <f>CONCATENATE("1 ","")</f>
        <v>1 </v>
      </c>
      <c r="P267">
        <v>24.85</v>
      </c>
      <c r="Q267" t="s">
        <v>23</v>
      </c>
    </row>
    <row r="268" spans="1:17" ht="15">
      <c r="A268" t="s">
        <v>17</v>
      </c>
      <c r="B268" s="1">
        <v>41807</v>
      </c>
      <c r="C268" t="s">
        <v>277</v>
      </c>
      <c r="D268" t="str">
        <f>CONCATENATE("0130008415","")</f>
        <v>0130008415</v>
      </c>
      <c r="E268" t="str">
        <f>CONCATENATE("0050805000040       ","")</f>
        <v>0050805000040       </v>
      </c>
      <c r="F268" t="str">
        <f>CONCATENATE("605398271","")</f>
        <v>605398271</v>
      </c>
      <c r="G268" t="s">
        <v>609</v>
      </c>
      <c r="H268" t="s">
        <v>610</v>
      </c>
      <c r="I268" t="s">
        <v>611</v>
      </c>
      <c r="J268" t="str">
        <f>CONCATENATE("080508","")</f>
        <v>080508</v>
      </c>
      <c r="K268" t="s">
        <v>21</v>
      </c>
      <c r="L268" t="s">
        <v>22</v>
      </c>
      <c r="M268" t="str">
        <f t="shared" si="40"/>
        <v>1</v>
      </c>
      <c r="O268" t="str">
        <f>CONCATENATE("1 ","")</f>
        <v>1 </v>
      </c>
      <c r="P268">
        <v>29.75</v>
      </c>
      <c r="Q268" t="s">
        <v>23</v>
      </c>
    </row>
    <row r="269" spans="1:17" ht="15">
      <c r="A269" t="s">
        <v>17</v>
      </c>
      <c r="B269" s="1">
        <v>41807</v>
      </c>
      <c r="C269" t="s">
        <v>277</v>
      </c>
      <c r="D269" t="str">
        <f>CONCATENATE("0130013791","")</f>
        <v>0130013791</v>
      </c>
      <c r="E269" t="str">
        <f>CONCATENATE("0050810000130       ","")</f>
        <v>0050810000130       </v>
      </c>
      <c r="F269" t="str">
        <f>CONCATENATE("606667865","")</f>
        <v>606667865</v>
      </c>
      <c r="G269" t="s">
        <v>612</v>
      </c>
      <c r="H269" t="s">
        <v>613</v>
      </c>
      <c r="I269" t="s">
        <v>614</v>
      </c>
      <c r="J269" t="str">
        <f>CONCATENATE("080508","")</f>
        <v>080508</v>
      </c>
      <c r="K269" t="s">
        <v>21</v>
      </c>
      <c r="L269" t="s">
        <v>22</v>
      </c>
      <c r="M269" t="str">
        <f t="shared" si="40"/>
        <v>1</v>
      </c>
      <c r="O269" t="str">
        <f>CONCATENATE("3 ","")</f>
        <v>3 </v>
      </c>
      <c r="P269">
        <v>1637.5</v>
      </c>
      <c r="Q269" t="s">
        <v>23</v>
      </c>
    </row>
    <row r="270" spans="1:17" ht="15">
      <c r="A270" t="s">
        <v>17</v>
      </c>
      <c r="B270" s="1">
        <v>41807</v>
      </c>
      <c r="C270" t="s">
        <v>405</v>
      </c>
      <c r="D270" t="str">
        <f>CONCATENATE("0130008610","")</f>
        <v>0130008610</v>
      </c>
      <c r="E270" t="str">
        <f>CONCATENATE("0050815000320       ","")</f>
        <v>0050815000320       </v>
      </c>
      <c r="F270" t="str">
        <f>CONCATENATE("605120709","")</f>
        <v>605120709</v>
      </c>
      <c r="G270" t="s">
        <v>615</v>
      </c>
      <c r="H270" t="s">
        <v>616</v>
      </c>
      <c r="I270" t="s">
        <v>617</v>
      </c>
      <c r="J270" t="str">
        <f aca="true" t="shared" si="41" ref="J270:J275">CONCATENATE("080501","")</f>
        <v>080501</v>
      </c>
      <c r="K270" t="s">
        <v>21</v>
      </c>
      <c r="L270" t="s">
        <v>22</v>
      </c>
      <c r="M270" t="str">
        <f t="shared" si="40"/>
        <v>1</v>
      </c>
      <c r="O270" t="str">
        <f>CONCATENATE("1 ","")</f>
        <v>1 </v>
      </c>
      <c r="P270">
        <v>27.85</v>
      </c>
      <c r="Q270" t="s">
        <v>23</v>
      </c>
    </row>
    <row r="271" spans="1:17" ht="15">
      <c r="A271" t="s">
        <v>17</v>
      </c>
      <c r="B271" s="1">
        <v>41807</v>
      </c>
      <c r="C271" t="s">
        <v>405</v>
      </c>
      <c r="D271" t="str">
        <f>CONCATENATE("0130008612","")</f>
        <v>0130008612</v>
      </c>
      <c r="E271" t="str">
        <f>CONCATENATE("0050815000340       ","")</f>
        <v>0050815000340       </v>
      </c>
      <c r="F271" t="str">
        <f>CONCATENATE("605391448","")</f>
        <v>605391448</v>
      </c>
      <c r="G271" t="s">
        <v>615</v>
      </c>
      <c r="H271" t="s">
        <v>618</v>
      </c>
      <c r="I271" t="s">
        <v>617</v>
      </c>
      <c r="J271" t="str">
        <f t="shared" si="41"/>
        <v>080501</v>
      </c>
      <c r="K271" t="s">
        <v>21</v>
      </c>
      <c r="L271" t="s">
        <v>22</v>
      </c>
      <c r="M271" t="str">
        <f t="shared" si="40"/>
        <v>1</v>
      </c>
      <c r="O271" t="str">
        <f>CONCATENATE("1 ","")</f>
        <v>1 </v>
      </c>
      <c r="P271">
        <v>25.25</v>
      </c>
      <c r="Q271" t="s">
        <v>23</v>
      </c>
    </row>
    <row r="272" spans="1:17" ht="15">
      <c r="A272" t="s">
        <v>17</v>
      </c>
      <c r="B272" s="1">
        <v>41807</v>
      </c>
      <c r="C272" t="s">
        <v>405</v>
      </c>
      <c r="D272" t="str">
        <f>CONCATENATE("0130008628","")</f>
        <v>0130008628</v>
      </c>
      <c r="E272" t="str">
        <f>CONCATENATE("0050815000500       ","")</f>
        <v>0050815000500       </v>
      </c>
      <c r="F272" t="str">
        <f>CONCATENATE("7295216","")</f>
        <v>7295216</v>
      </c>
      <c r="G272" t="s">
        <v>615</v>
      </c>
      <c r="H272" t="s">
        <v>619</v>
      </c>
      <c r="I272" t="s">
        <v>617</v>
      </c>
      <c r="J272" t="str">
        <f t="shared" si="41"/>
        <v>080501</v>
      </c>
      <c r="K272" t="s">
        <v>21</v>
      </c>
      <c r="L272" t="s">
        <v>22</v>
      </c>
      <c r="M272" t="str">
        <f t="shared" si="40"/>
        <v>1</v>
      </c>
      <c r="O272" t="str">
        <f>CONCATENATE("2 ","")</f>
        <v>2 </v>
      </c>
      <c r="P272">
        <v>19.5</v>
      </c>
      <c r="Q272" t="s">
        <v>23</v>
      </c>
    </row>
    <row r="273" spans="1:17" ht="15">
      <c r="A273" t="s">
        <v>17</v>
      </c>
      <c r="B273" s="1">
        <v>41807</v>
      </c>
      <c r="C273" t="s">
        <v>405</v>
      </c>
      <c r="D273" t="str">
        <f>CONCATENATE("0130017203","")</f>
        <v>0130017203</v>
      </c>
      <c r="E273" t="str">
        <f>CONCATENATE("0050815000518       ","")</f>
        <v>0050815000518       </v>
      </c>
      <c r="F273" t="str">
        <f>CONCATENATE("605766514","")</f>
        <v>605766514</v>
      </c>
      <c r="G273" t="s">
        <v>615</v>
      </c>
      <c r="H273" t="s">
        <v>620</v>
      </c>
      <c r="I273" t="s">
        <v>621</v>
      </c>
      <c r="J273" t="str">
        <f t="shared" si="41"/>
        <v>080501</v>
      </c>
      <c r="K273" t="s">
        <v>21</v>
      </c>
      <c r="L273" t="s">
        <v>22</v>
      </c>
      <c r="M273" t="str">
        <f t="shared" si="40"/>
        <v>1</v>
      </c>
      <c r="O273" t="str">
        <f>CONCATENATE("1 ","")</f>
        <v>1 </v>
      </c>
      <c r="P273">
        <v>24.3</v>
      </c>
      <c r="Q273" t="s">
        <v>23</v>
      </c>
    </row>
    <row r="274" spans="1:17" ht="15">
      <c r="A274" t="s">
        <v>17</v>
      </c>
      <c r="B274" s="1">
        <v>41807</v>
      </c>
      <c r="C274" t="s">
        <v>405</v>
      </c>
      <c r="D274" t="str">
        <f>CONCATENATE("0130014146","")</f>
        <v>0130014146</v>
      </c>
      <c r="E274" t="str">
        <f>CONCATENATE("0050815000695       ","")</f>
        <v>0050815000695       </v>
      </c>
      <c r="F274" t="str">
        <f>CONCATENATE("606667862","")</f>
        <v>606667862</v>
      </c>
      <c r="G274" t="s">
        <v>615</v>
      </c>
      <c r="H274" t="s">
        <v>622</v>
      </c>
      <c r="I274" t="s">
        <v>623</v>
      </c>
      <c r="J274" t="str">
        <f t="shared" si="41"/>
        <v>080501</v>
      </c>
      <c r="K274" t="s">
        <v>21</v>
      </c>
      <c r="L274" t="s">
        <v>22</v>
      </c>
      <c r="M274" t="str">
        <f t="shared" si="40"/>
        <v>1</v>
      </c>
      <c r="O274" t="str">
        <f>CONCATENATE("2 ","")</f>
        <v>2 </v>
      </c>
      <c r="P274">
        <v>33.8</v>
      </c>
      <c r="Q274" t="s">
        <v>23</v>
      </c>
    </row>
    <row r="275" spans="1:17" ht="15">
      <c r="A275" t="s">
        <v>17</v>
      </c>
      <c r="B275" s="1">
        <v>41807</v>
      </c>
      <c r="C275" t="s">
        <v>405</v>
      </c>
      <c r="D275" t="str">
        <f>CONCATENATE("0130008673","")</f>
        <v>0130008673</v>
      </c>
      <c r="E275" t="str">
        <f>CONCATENATE("0050815000950       ","")</f>
        <v>0050815000950       </v>
      </c>
      <c r="F275" t="str">
        <f>CONCATENATE("605120699","")</f>
        <v>605120699</v>
      </c>
      <c r="G275" t="s">
        <v>615</v>
      </c>
      <c r="H275" t="s">
        <v>624</v>
      </c>
      <c r="I275" t="s">
        <v>617</v>
      </c>
      <c r="J275" t="str">
        <f t="shared" si="41"/>
        <v>080501</v>
      </c>
      <c r="K275" t="s">
        <v>21</v>
      </c>
      <c r="L275" t="s">
        <v>22</v>
      </c>
      <c r="M275" t="str">
        <f t="shared" si="40"/>
        <v>1</v>
      </c>
      <c r="O275" t="str">
        <f>CONCATENATE("1 ","")</f>
        <v>1 </v>
      </c>
      <c r="P275">
        <v>68.05</v>
      </c>
      <c r="Q275" t="s">
        <v>23</v>
      </c>
    </row>
    <row r="276" spans="1:17" ht="15">
      <c r="A276" t="s">
        <v>17</v>
      </c>
      <c r="B276" s="1">
        <v>41807</v>
      </c>
      <c r="C276" t="s">
        <v>625</v>
      </c>
      <c r="D276" t="str">
        <f>CONCATENATE("0130013242","")</f>
        <v>0130013242</v>
      </c>
      <c r="E276" t="str">
        <f>CONCATENATE("0050830000040       ","")</f>
        <v>0050830000040       </v>
      </c>
      <c r="F276" t="str">
        <f>CONCATENATE("00503003814","")</f>
        <v>00503003814</v>
      </c>
      <c r="G276" t="s">
        <v>630</v>
      </c>
      <c r="H276" t="s">
        <v>626</v>
      </c>
      <c r="I276" t="s">
        <v>627</v>
      </c>
      <c r="J276" t="str">
        <f>CONCATENATE("080603","")</f>
        <v>080603</v>
      </c>
      <c r="K276" t="s">
        <v>21</v>
      </c>
      <c r="L276" t="s">
        <v>22</v>
      </c>
      <c r="M276" t="str">
        <f t="shared" si="40"/>
        <v>1</v>
      </c>
      <c r="O276" t="str">
        <f>CONCATENATE("2 ","")</f>
        <v>2 </v>
      </c>
      <c r="P276">
        <v>20.65</v>
      </c>
      <c r="Q276" t="s">
        <v>23</v>
      </c>
    </row>
    <row r="277" spans="1:17" ht="15">
      <c r="A277" t="s">
        <v>17</v>
      </c>
      <c r="B277" s="1">
        <v>41807</v>
      </c>
      <c r="C277" t="s">
        <v>625</v>
      </c>
      <c r="D277" t="str">
        <f>CONCATENATE("0130013219","")</f>
        <v>0130013219</v>
      </c>
      <c r="E277" t="str">
        <f>CONCATENATE("0050830000120       ","")</f>
        <v>0050830000120       </v>
      </c>
      <c r="F277" t="str">
        <f>CONCATENATE("00503003810","")</f>
        <v>00503003810</v>
      </c>
      <c r="G277" t="s">
        <v>630</v>
      </c>
      <c r="H277" t="s">
        <v>628</v>
      </c>
      <c r="I277" t="s">
        <v>627</v>
      </c>
      <c r="J277" t="str">
        <f>CONCATENATE("080603","")</f>
        <v>080603</v>
      </c>
      <c r="K277" t="s">
        <v>21</v>
      </c>
      <c r="L277" t="s">
        <v>22</v>
      </c>
      <c r="M277" t="str">
        <f t="shared" si="40"/>
        <v>1</v>
      </c>
      <c r="O277" t="str">
        <f>CONCATENATE("3 ","")</f>
        <v>3 </v>
      </c>
      <c r="P277">
        <v>1590.45</v>
      </c>
      <c r="Q277" t="s">
        <v>23</v>
      </c>
    </row>
    <row r="278" spans="1:17" ht="15">
      <c r="A278" t="s">
        <v>17</v>
      </c>
      <c r="B278" s="1">
        <v>41807</v>
      </c>
      <c r="C278" t="s">
        <v>625</v>
      </c>
      <c r="D278" t="str">
        <f>CONCATENATE("0130013246","")</f>
        <v>0130013246</v>
      </c>
      <c r="E278" t="str">
        <f>CONCATENATE("0050830000140       ","")</f>
        <v>0050830000140       </v>
      </c>
      <c r="F278" t="str">
        <f>CONCATENATE("00503003816","")</f>
        <v>00503003816</v>
      </c>
      <c r="G278" t="s">
        <v>630</v>
      </c>
      <c r="H278" t="s">
        <v>629</v>
      </c>
      <c r="I278" t="s">
        <v>627</v>
      </c>
      <c r="J278" t="str">
        <f>CONCATENATE("080603","")</f>
        <v>080603</v>
      </c>
      <c r="K278" t="s">
        <v>21</v>
      </c>
      <c r="L278" t="s">
        <v>22</v>
      </c>
      <c r="M278" t="str">
        <f t="shared" si="40"/>
        <v>1</v>
      </c>
      <c r="O278" t="str">
        <f>CONCATENATE("1 ","")</f>
        <v>1 </v>
      </c>
      <c r="P278">
        <v>11.4</v>
      </c>
      <c r="Q278" t="s">
        <v>23</v>
      </c>
    </row>
    <row r="279" spans="1:17" ht="15">
      <c r="A279" t="s">
        <v>17</v>
      </c>
      <c r="B279" s="1">
        <v>41807</v>
      </c>
      <c r="C279" t="s">
        <v>405</v>
      </c>
      <c r="D279" t="str">
        <f>CONCATENATE("0040030613","")</f>
        <v>0040030613</v>
      </c>
      <c r="E279" t="str">
        <f>CONCATENATE("0050830001040       ","")</f>
        <v>0050830001040       </v>
      </c>
      <c r="F279" t="str">
        <f>CONCATENATE("2181441","")</f>
        <v>2181441</v>
      </c>
      <c r="G279" t="s">
        <v>630</v>
      </c>
      <c r="H279" t="s">
        <v>631</v>
      </c>
      <c r="I279" t="s">
        <v>632</v>
      </c>
      <c r="J279" t="str">
        <f aca="true" t="shared" si="42" ref="J279:J285">CONCATENATE("080501","")</f>
        <v>080501</v>
      </c>
      <c r="K279" t="s">
        <v>21</v>
      </c>
      <c r="L279" t="s">
        <v>22</v>
      </c>
      <c r="M279" t="str">
        <f t="shared" si="40"/>
        <v>1</v>
      </c>
      <c r="O279" t="str">
        <f>CONCATENATE("1 ","")</f>
        <v>1 </v>
      </c>
      <c r="P279">
        <v>11.4</v>
      </c>
      <c r="Q279" t="s">
        <v>23</v>
      </c>
    </row>
    <row r="280" spans="1:17" ht="15">
      <c r="A280" t="s">
        <v>17</v>
      </c>
      <c r="B280" s="1">
        <v>41807</v>
      </c>
      <c r="C280" t="s">
        <v>405</v>
      </c>
      <c r="D280" t="str">
        <f>CONCATENATE("0040030612","")</f>
        <v>0040030612</v>
      </c>
      <c r="E280" t="str">
        <f>CONCATENATE("0050830001050       ","")</f>
        <v>0050830001050       </v>
      </c>
      <c r="F280" t="str">
        <f>CONCATENATE("2181448","")</f>
        <v>2181448</v>
      </c>
      <c r="G280" t="s">
        <v>630</v>
      </c>
      <c r="H280" t="s">
        <v>633</v>
      </c>
      <c r="I280" t="s">
        <v>632</v>
      </c>
      <c r="J280" t="str">
        <f t="shared" si="42"/>
        <v>080501</v>
      </c>
      <c r="K280" t="s">
        <v>21</v>
      </c>
      <c r="L280" t="s">
        <v>22</v>
      </c>
      <c r="M280" t="str">
        <f t="shared" si="40"/>
        <v>1</v>
      </c>
      <c r="O280" t="str">
        <f>CONCATENATE("1 ","")</f>
        <v>1 </v>
      </c>
      <c r="P280">
        <v>11.4</v>
      </c>
      <c r="Q280" t="s">
        <v>23</v>
      </c>
    </row>
    <row r="281" spans="1:17" ht="15">
      <c r="A281" t="s">
        <v>17</v>
      </c>
      <c r="B281" s="1">
        <v>41807</v>
      </c>
      <c r="C281" t="s">
        <v>405</v>
      </c>
      <c r="D281" t="str">
        <f>CONCATENATE("0040030603","")</f>
        <v>0040030603</v>
      </c>
      <c r="E281" t="str">
        <f>CONCATENATE("0050830001060       ","")</f>
        <v>0050830001060       </v>
      </c>
      <c r="F281" t="str">
        <f>CONCATENATE("2181451","")</f>
        <v>2181451</v>
      </c>
      <c r="G281" t="s">
        <v>630</v>
      </c>
      <c r="H281" t="s">
        <v>634</v>
      </c>
      <c r="I281" t="s">
        <v>632</v>
      </c>
      <c r="J281" t="str">
        <f t="shared" si="42"/>
        <v>080501</v>
      </c>
      <c r="K281" t="s">
        <v>21</v>
      </c>
      <c r="L281" t="s">
        <v>22</v>
      </c>
      <c r="M281" t="str">
        <f t="shared" si="40"/>
        <v>1</v>
      </c>
      <c r="O281" t="str">
        <f>CONCATENATE("4 ","")</f>
        <v>4 </v>
      </c>
      <c r="P281">
        <v>31.9</v>
      </c>
      <c r="Q281" t="s">
        <v>23</v>
      </c>
    </row>
    <row r="282" spans="1:17" ht="15">
      <c r="A282" t="s">
        <v>17</v>
      </c>
      <c r="B282" s="1">
        <v>41807</v>
      </c>
      <c r="C282" t="s">
        <v>405</v>
      </c>
      <c r="D282" t="str">
        <f>CONCATENATE("0040030604","")</f>
        <v>0040030604</v>
      </c>
      <c r="E282" t="str">
        <f>CONCATENATE("0050830001070       ","")</f>
        <v>0050830001070       </v>
      </c>
      <c r="F282" t="str">
        <f>CONCATENATE("2181454","")</f>
        <v>2181454</v>
      </c>
      <c r="G282" t="s">
        <v>630</v>
      </c>
      <c r="H282" t="s">
        <v>635</v>
      </c>
      <c r="I282" t="s">
        <v>632</v>
      </c>
      <c r="J282" t="str">
        <f t="shared" si="42"/>
        <v>080501</v>
      </c>
      <c r="K282" t="s">
        <v>21</v>
      </c>
      <c r="L282" t="s">
        <v>22</v>
      </c>
      <c r="M282" t="str">
        <f t="shared" si="40"/>
        <v>1</v>
      </c>
      <c r="O282" t="str">
        <f>CONCATENATE("1 ","")</f>
        <v>1 </v>
      </c>
      <c r="P282">
        <v>11.4</v>
      </c>
      <c r="Q282" t="s">
        <v>23</v>
      </c>
    </row>
    <row r="283" spans="1:17" ht="15">
      <c r="A283" t="s">
        <v>17</v>
      </c>
      <c r="B283" s="1">
        <v>41807</v>
      </c>
      <c r="C283" t="s">
        <v>405</v>
      </c>
      <c r="D283" t="str">
        <f>CONCATENATE("0040030606","")</f>
        <v>0040030606</v>
      </c>
      <c r="E283" t="str">
        <f>CONCATENATE("0050830001140       ","")</f>
        <v>0050830001140       </v>
      </c>
      <c r="F283" t="str">
        <f>CONCATENATE("2181445","")</f>
        <v>2181445</v>
      </c>
      <c r="G283" t="s">
        <v>630</v>
      </c>
      <c r="H283" t="s">
        <v>636</v>
      </c>
      <c r="I283" t="s">
        <v>632</v>
      </c>
      <c r="J283" t="str">
        <f t="shared" si="42"/>
        <v>080501</v>
      </c>
      <c r="K283" t="s">
        <v>21</v>
      </c>
      <c r="L283" t="s">
        <v>22</v>
      </c>
      <c r="M283" t="str">
        <f t="shared" si="40"/>
        <v>1</v>
      </c>
      <c r="O283" t="str">
        <f>CONCATENATE("7 ","")</f>
        <v>7 </v>
      </c>
      <c r="P283">
        <v>54.15</v>
      </c>
      <c r="Q283" t="s">
        <v>23</v>
      </c>
    </row>
    <row r="284" spans="1:17" ht="15">
      <c r="A284" t="s">
        <v>17</v>
      </c>
      <c r="B284" s="1">
        <v>41807</v>
      </c>
      <c r="C284" t="s">
        <v>405</v>
      </c>
      <c r="D284" t="str">
        <f>CONCATENATE("0130020198","")</f>
        <v>0130020198</v>
      </c>
      <c r="E284" t="str">
        <f>CONCATENATE("0050832001070       ","")</f>
        <v>0050832001070       </v>
      </c>
      <c r="F284" t="str">
        <f>CONCATENATE("0606035461","")</f>
        <v>0606035461</v>
      </c>
      <c r="G284" t="s">
        <v>637</v>
      </c>
      <c r="H284" t="s">
        <v>638</v>
      </c>
      <c r="I284" t="s">
        <v>639</v>
      </c>
      <c r="J284" t="str">
        <f t="shared" si="42"/>
        <v>080501</v>
      </c>
      <c r="K284" t="s">
        <v>21</v>
      </c>
      <c r="L284" t="s">
        <v>22</v>
      </c>
      <c r="M284" t="str">
        <f t="shared" si="40"/>
        <v>1</v>
      </c>
      <c r="O284" t="str">
        <f>CONCATENATE("5 ","")</f>
        <v>5 </v>
      </c>
      <c r="P284">
        <v>35.6</v>
      </c>
      <c r="Q284" t="s">
        <v>23</v>
      </c>
    </row>
    <row r="285" spans="1:17" ht="15">
      <c r="A285" t="s">
        <v>17</v>
      </c>
      <c r="B285" s="1">
        <v>41807</v>
      </c>
      <c r="C285" t="s">
        <v>405</v>
      </c>
      <c r="D285" t="str">
        <f>CONCATENATE("0040033376","")</f>
        <v>0040033376</v>
      </c>
      <c r="E285" t="str">
        <f>CONCATENATE("0050834002017       ","")</f>
        <v>0050834002017       </v>
      </c>
      <c r="F285" t="str">
        <f>CONCATENATE("606036477","")</f>
        <v>606036477</v>
      </c>
      <c r="G285" t="s">
        <v>640</v>
      </c>
      <c r="H285" t="s">
        <v>641</v>
      </c>
      <c r="I285" t="s">
        <v>642</v>
      </c>
      <c r="J285" t="str">
        <f t="shared" si="42"/>
        <v>080501</v>
      </c>
      <c r="K285" t="s">
        <v>21</v>
      </c>
      <c r="L285" t="s">
        <v>22</v>
      </c>
      <c r="M285" t="str">
        <f t="shared" si="40"/>
        <v>1</v>
      </c>
      <c r="O285" t="str">
        <f aca="true" t="shared" si="43" ref="O285:O297">CONCATENATE("1 ","")</f>
        <v>1 </v>
      </c>
      <c r="P285">
        <v>11.45</v>
      </c>
      <c r="Q285" t="s">
        <v>23</v>
      </c>
    </row>
    <row r="286" spans="1:17" ht="15">
      <c r="A286" t="s">
        <v>17</v>
      </c>
      <c r="B286" s="1">
        <v>41807</v>
      </c>
      <c r="C286" t="s">
        <v>625</v>
      </c>
      <c r="D286" t="str">
        <f>CONCATENATE("0130013577","")</f>
        <v>0130013577</v>
      </c>
      <c r="E286" t="str">
        <f>CONCATENATE("0060201000015       ","")</f>
        <v>0060201000015       </v>
      </c>
      <c r="F286" t="str">
        <f>CONCATENATE("606665468","")</f>
        <v>606665468</v>
      </c>
      <c r="G286" t="s">
        <v>643</v>
      </c>
      <c r="H286" t="s">
        <v>644</v>
      </c>
      <c r="I286" t="s">
        <v>645</v>
      </c>
      <c r="J286" t="str">
        <f aca="true" t="shared" si="44" ref="J286:J309">CONCATENATE("080603","")</f>
        <v>080603</v>
      </c>
      <c r="K286" t="s">
        <v>21</v>
      </c>
      <c r="L286" t="s">
        <v>22</v>
      </c>
      <c r="M286" t="str">
        <f t="shared" si="40"/>
        <v>1</v>
      </c>
      <c r="O286" t="str">
        <f t="shared" si="43"/>
        <v>1 </v>
      </c>
      <c r="P286">
        <v>13.35</v>
      </c>
      <c r="Q286" t="s">
        <v>23</v>
      </c>
    </row>
    <row r="287" spans="1:17" ht="15">
      <c r="A287" t="s">
        <v>17</v>
      </c>
      <c r="B287" s="1">
        <v>41807</v>
      </c>
      <c r="C287" t="s">
        <v>625</v>
      </c>
      <c r="D287" t="str">
        <f>CONCATENATE("0130002733","")</f>
        <v>0130002733</v>
      </c>
      <c r="E287" t="str">
        <f>CONCATENATE("0060201000095       ","")</f>
        <v>0060201000095       </v>
      </c>
      <c r="F287" t="str">
        <f>CONCATENATE("606665483","")</f>
        <v>606665483</v>
      </c>
      <c r="G287" t="s">
        <v>646</v>
      </c>
      <c r="H287" t="s">
        <v>647</v>
      </c>
      <c r="I287" t="s">
        <v>648</v>
      </c>
      <c r="J287" t="str">
        <f t="shared" si="44"/>
        <v>080603</v>
      </c>
      <c r="K287" t="s">
        <v>21</v>
      </c>
      <c r="L287" t="s">
        <v>22</v>
      </c>
      <c r="M287" t="str">
        <f t="shared" si="40"/>
        <v>1</v>
      </c>
      <c r="O287" t="str">
        <f t="shared" si="43"/>
        <v>1 </v>
      </c>
      <c r="P287">
        <v>169.6</v>
      </c>
      <c r="Q287" t="s">
        <v>23</v>
      </c>
    </row>
    <row r="288" spans="1:17" ht="15">
      <c r="A288" t="s">
        <v>17</v>
      </c>
      <c r="B288" s="1">
        <v>41807</v>
      </c>
      <c r="C288" t="s">
        <v>625</v>
      </c>
      <c r="D288" t="str">
        <f>CONCATENATE("0130002766","")</f>
        <v>0130002766</v>
      </c>
      <c r="E288" t="str">
        <f>CONCATENATE("0060201000830       ","")</f>
        <v>0060201000830       </v>
      </c>
      <c r="F288" t="str">
        <f>CONCATENATE("7441581","")</f>
        <v>7441581</v>
      </c>
      <c r="G288" t="s">
        <v>643</v>
      </c>
      <c r="H288" t="s">
        <v>649</v>
      </c>
      <c r="I288" t="str">
        <f>CONCATENATE("12-DE-OCTUBRE-S-N","")</f>
        <v>12-DE-OCTUBRE-S-N</v>
      </c>
      <c r="J288" t="str">
        <f t="shared" si="44"/>
        <v>080603</v>
      </c>
      <c r="K288" t="s">
        <v>21</v>
      </c>
      <c r="L288" t="s">
        <v>22</v>
      </c>
      <c r="M288" t="str">
        <f t="shared" si="40"/>
        <v>1</v>
      </c>
      <c r="O288" t="str">
        <f t="shared" si="43"/>
        <v>1 </v>
      </c>
      <c r="P288">
        <v>20.85</v>
      </c>
      <c r="Q288" t="s">
        <v>23</v>
      </c>
    </row>
    <row r="289" spans="1:17" ht="15">
      <c r="A289" t="s">
        <v>17</v>
      </c>
      <c r="B289" s="1">
        <v>41807</v>
      </c>
      <c r="C289" t="s">
        <v>625</v>
      </c>
      <c r="D289" t="str">
        <f>CONCATENATE("0130002767","")</f>
        <v>0130002767</v>
      </c>
      <c r="E289" t="str">
        <f>CONCATENATE("0060201003000       ","")</f>
        <v>0060201003000       </v>
      </c>
      <c r="F289" t="str">
        <f>CONCATENATE("605120617","")</f>
        <v>605120617</v>
      </c>
      <c r="G289" t="s">
        <v>646</v>
      </c>
      <c r="H289" t="s">
        <v>650</v>
      </c>
      <c r="I289" t="s">
        <v>651</v>
      </c>
      <c r="J289" t="str">
        <f t="shared" si="44"/>
        <v>080603</v>
      </c>
      <c r="K289" t="s">
        <v>21</v>
      </c>
      <c r="L289" t="s">
        <v>22</v>
      </c>
      <c r="M289" t="str">
        <f t="shared" si="40"/>
        <v>1</v>
      </c>
      <c r="O289" t="str">
        <f t="shared" si="43"/>
        <v>1 </v>
      </c>
      <c r="P289">
        <v>35.1</v>
      </c>
      <c r="Q289" t="s">
        <v>23</v>
      </c>
    </row>
    <row r="290" spans="1:17" ht="15">
      <c r="A290" t="s">
        <v>17</v>
      </c>
      <c r="B290" s="1">
        <v>41807</v>
      </c>
      <c r="C290" t="s">
        <v>625</v>
      </c>
      <c r="D290" t="str">
        <f>CONCATENATE("0130016425","")</f>
        <v>0130016425</v>
      </c>
      <c r="E290" t="str">
        <f>CONCATENATE("0060201003272       ","")</f>
        <v>0060201003272       </v>
      </c>
      <c r="F290" t="str">
        <f>CONCATENATE("764133","")</f>
        <v>764133</v>
      </c>
      <c r="G290" t="s">
        <v>643</v>
      </c>
      <c r="H290" t="s">
        <v>652</v>
      </c>
      <c r="I290" t="s">
        <v>653</v>
      </c>
      <c r="J290" t="str">
        <f t="shared" si="44"/>
        <v>080603</v>
      </c>
      <c r="K290" t="s">
        <v>21</v>
      </c>
      <c r="L290" t="s">
        <v>22</v>
      </c>
      <c r="M290" t="str">
        <f t="shared" si="40"/>
        <v>1</v>
      </c>
      <c r="O290" t="str">
        <f t="shared" si="43"/>
        <v>1 </v>
      </c>
      <c r="P290">
        <v>51.25</v>
      </c>
      <c r="Q290" t="s">
        <v>23</v>
      </c>
    </row>
    <row r="291" spans="1:17" ht="15">
      <c r="A291" t="s">
        <v>17</v>
      </c>
      <c r="B291" s="1">
        <v>41807</v>
      </c>
      <c r="C291" t="s">
        <v>625</v>
      </c>
      <c r="D291" t="str">
        <f>CONCATENATE("0130002802","")</f>
        <v>0130002802</v>
      </c>
      <c r="E291" t="str">
        <f>CONCATENATE("0060201003490       ","")</f>
        <v>0060201003490       </v>
      </c>
      <c r="F291" t="str">
        <f>CONCATENATE("606598364","")</f>
        <v>606598364</v>
      </c>
      <c r="G291" t="s">
        <v>646</v>
      </c>
      <c r="H291" t="s">
        <v>654</v>
      </c>
      <c r="I291" t="s">
        <v>437</v>
      </c>
      <c r="J291" t="str">
        <f t="shared" si="44"/>
        <v>080603</v>
      </c>
      <c r="K291" t="s">
        <v>21</v>
      </c>
      <c r="L291" t="s">
        <v>22</v>
      </c>
      <c r="M291" t="str">
        <f t="shared" si="40"/>
        <v>1</v>
      </c>
      <c r="O291" t="str">
        <f t="shared" si="43"/>
        <v>1 </v>
      </c>
      <c r="P291">
        <v>15.4</v>
      </c>
      <c r="Q291" t="s">
        <v>23</v>
      </c>
    </row>
    <row r="292" spans="1:17" ht="15">
      <c r="A292" t="s">
        <v>17</v>
      </c>
      <c r="B292" s="1">
        <v>41807</v>
      </c>
      <c r="C292" t="s">
        <v>625</v>
      </c>
      <c r="D292" t="str">
        <f>CONCATENATE("0130015986","")</f>
        <v>0130015986</v>
      </c>
      <c r="E292" t="str">
        <f>CONCATENATE("0060202001690       ","")</f>
        <v>0060202001690       </v>
      </c>
      <c r="F292" t="str">
        <f>CONCATENATE("605288219","")</f>
        <v>605288219</v>
      </c>
      <c r="G292" t="s">
        <v>643</v>
      </c>
      <c r="H292" t="s">
        <v>655</v>
      </c>
      <c r="I292" t="s">
        <v>656</v>
      </c>
      <c r="J292" t="str">
        <f t="shared" si="44"/>
        <v>080603</v>
      </c>
      <c r="K292" t="s">
        <v>21</v>
      </c>
      <c r="L292" t="s">
        <v>22</v>
      </c>
      <c r="M292" t="str">
        <f t="shared" si="40"/>
        <v>1</v>
      </c>
      <c r="O292" t="str">
        <f t="shared" si="43"/>
        <v>1 </v>
      </c>
      <c r="P292">
        <v>26.5</v>
      </c>
      <c r="Q292" t="s">
        <v>23</v>
      </c>
    </row>
    <row r="293" spans="1:17" ht="15">
      <c r="A293" t="s">
        <v>17</v>
      </c>
      <c r="B293" s="1">
        <v>41807</v>
      </c>
      <c r="C293" t="s">
        <v>625</v>
      </c>
      <c r="D293" t="str">
        <f>CONCATENATE("0040031711","")</f>
        <v>0040031711</v>
      </c>
      <c r="E293" t="str">
        <f>CONCATENATE("0060202002179       ","")</f>
        <v>0060202002179       </v>
      </c>
      <c r="F293" t="str">
        <f>CONCATENATE("606602041","")</f>
        <v>606602041</v>
      </c>
      <c r="G293" t="s">
        <v>643</v>
      </c>
      <c r="H293" t="s">
        <v>657</v>
      </c>
      <c r="I293" t="s">
        <v>658</v>
      </c>
      <c r="J293" t="str">
        <f t="shared" si="44"/>
        <v>080603</v>
      </c>
      <c r="K293" t="s">
        <v>21</v>
      </c>
      <c r="L293" t="s">
        <v>22</v>
      </c>
      <c r="M293" t="str">
        <f t="shared" si="40"/>
        <v>1</v>
      </c>
      <c r="O293" t="str">
        <f t="shared" si="43"/>
        <v>1 </v>
      </c>
      <c r="P293">
        <v>12.95</v>
      </c>
      <c r="Q293" t="s">
        <v>23</v>
      </c>
    </row>
    <row r="294" spans="1:17" ht="15">
      <c r="A294" t="s">
        <v>17</v>
      </c>
      <c r="B294" s="1">
        <v>41807</v>
      </c>
      <c r="C294" t="s">
        <v>625</v>
      </c>
      <c r="D294" t="str">
        <f>CONCATENATE("0130002972","")</f>
        <v>0130002972</v>
      </c>
      <c r="E294" t="str">
        <f>CONCATENATE("0060202002350       ","")</f>
        <v>0060202002350       </v>
      </c>
      <c r="F294" t="str">
        <f>CONCATENATE("111448","")</f>
        <v>111448</v>
      </c>
      <c r="G294" t="s">
        <v>643</v>
      </c>
      <c r="H294" t="s">
        <v>659</v>
      </c>
      <c r="I294" t="s">
        <v>660</v>
      </c>
      <c r="J294" t="str">
        <f t="shared" si="44"/>
        <v>080603</v>
      </c>
      <c r="K294" t="s">
        <v>21</v>
      </c>
      <c r="L294" t="s">
        <v>22</v>
      </c>
      <c r="M294" t="str">
        <f>CONCATENATE("3","")</f>
        <v>3</v>
      </c>
      <c r="O294" t="str">
        <f t="shared" si="43"/>
        <v>1 </v>
      </c>
      <c r="P294">
        <v>43.55</v>
      </c>
      <c r="Q294" t="s">
        <v>68</v>
      </c>
    </row>
    <row r="295" spans="1:17" ht="15">
      <c r="A295" t="s">
        <v>17</v>
      </c>
      <c r="B295" s="1">
        <v>41807</v>
      </c>
      <c r="C295" t="s">
        <v>625</v>
      </c>
      <c r="D295" t="str">
        <f>CONCATENATE("0130003017","")</f>
        <v>0130003017</v>
      </c>
      <c r="E295" t="str">
        <f>CONCATENATE("0060220000170       ","")</f>
        <v>0060220000170       </v>
      </c>
      <c r="F295" t="str">
        <f>CONCATENATE("2183114","")</f>
        <v>2183114</v>
      </c>
      <c r="G295" t="s">
        <v>661</v>
      </c>
      <c r="H295" t="s">
        <v>662</v>
      </c>
      <c r="I295" t="s">
        <v>663</v>
      </c>
      <c r="J295" t="str">
        <f t="shared" si="44"/>
        <v>080603</v>
      </c>
      <c r="K295" t="s">
        <v>21</v>
      </c>
      <c r="L295" t="s">
        <v>22</v>
      </c>
      <c r="M295" t="str">
        <f aca="true" t="shared" si="45" ref="M295:M300">CONCATENATE("1","")</f>
        <v>1</v>
      </c>
      <c r="O295" t="str">
        <f t="shared" si="43"/>
        <v>1 </v>
      </c>
      <c r="P295">
        <v>23.55</v>
      </c>
      <c r="Q295" t="s">
        <v>23</v>
      </c>
    </row>
    <row r="296" spans="1:17" ht="15">
      <c r="A296" t="s">
        <v>17</v>
      </c>
      <c r="B296" s="1">
        <v>41807</v>
      </c>
      <c r="C296" t="s">
        <v>625</v>
      </c>
      <c r="D296" t="str">
        <f>CONCATENATE("0130009174","")</f>
        <v>0130009174</v>
      </c>
      <c r="E296" t="str">
        <f>CONCATENATE("0060221000171       ","")</f>
        <v>0060221000171       </v>
      </c>
      <c r="F296" t="str">
        <f>CONCATENATE("605055655","")</f>
        <v>605055655</v>
      </c>
      <c r="G296" t="s">
        <v>664</v>
      </c>
      <c r="H296" t="s">
        <v>665</v>
      </c>
      <c r="I296" t="s">
        <v>666</v>
      </c>
      <c r="J296" t="str">
        <f t="shared" si="44"/>
        <v>080603</v>
      </c>
      <c r="K296" t="s">
        <v>21</v>
      </c>
      <c r="L296" t="s">
        <v>22</v>
      </c>
      <c r="M296" t="str">
        <f t="shared" si="45"/>
        <v>1</v>
      </c>
      <c r="O296" t="str">
        <f t="shared" si="43"/>
        <v>1 </v>
      </c>
      <c r="P296">
        <v>10.5</v>
      </c>
      <c r="Q296" t="s">
        <v>23</v>
      </c>
    </row>
    <row r="297" spans="1:17" ht="15">
      <c r="A297" t="s">
        <v>17</v>
      </c>
      <c r="B297" s="1">
        <v>41807</v>
      </c>
      <c r="C297" t="s">
        <v>625</v>
      </c>
      <c r="D297" t="str">
        <f>CONCATENATE("0130015425","")</f>
        <v>0130015425</v>
      </c>
      <c r="E297" t="str">
        <f>CONCATENATE("0060221000395       ","")</f>
        <v>0060221000395       </v>
      </c>
      <c r="F297" t="str">
        <f>CONCATENATE("605287802","")</f>
        <v>605287802</v>
      </c>
      <c r="G297" t="s">
        <v>664</v>
      </c>
      <c r="H297" t="s">
        <v>667</v>
      </c>
      <c r="I297" t="s">
        <v>668</v>
      </c>
      <c r="J297" t="str">
        <f t="shared" si="44"/>
        <v>080603</v>
      </c>
      <c r="K297" t="s">
        <v>21</v>
      </c>
      <c r="L297" t="s">
        <v>22</v>
      </c>
      <c r="M297" t="str">
        <f t="shared" si="45"/>
        <v>1</v>
      </c>
      <c r="O297" t="str">
        <f t="shared" si="43"/>
        <v>1 </v>
      </c>
      <c r="P297">
        <v>29.85</v>
      </c>
      <c r="Q297" t="s">
        <v>23</v>
      </c>
    </row>
    <row r="298" spans="1:17" ht="15">
      <c r="A298" t="s">
        <v>17</v>
      </c>
      <c r="B298" s="1">
        <v>41807</v>
      </c>
      <c r="C298" t="s">
        <v>625</v>
      </c>
      <c r="D298" t="str">
        <f>CONCATENATE("0130003074","")</f>
        <v>0130003074</v>
      </c>
      <c r="E298" t="str">
        <f>CONCATENATE("0060221000400       ","")</f>
        <v>0060221000400       </v>
      </c>
      <c r="F298" t="str">
        <f>CONCATENATE("605348199","")</f>
        <v>605348199</v>
      </c>
      <c r="G298" t="s">
        <v>664</v>
      </c>
      <c r="H298" t="s">
        <v>669</v>
      </c>
      <c r="I298" t="s">
        <v>670</v>
      </c>
      <c r="J298" t="str">
        <f t="shared" si="44"/>
        <v>080603</v>
      </c>
      <c r="K298" t="s">
        <v>21</v>
      </c>
      <c r="L298" t="s">
        <v>22</v>
      </c>
      <c r="M298" t="str">
        <f t="shared" si="45"/>
        <v>1</v>
      </c>
      <c r="O298" t="str">
        <f>CONCATENATE("2 ","")</f>
        <v>2 </v>
      </c>
      <c r="P298">
        <v>15.8</v>
      </c>
      <c r="Q298" t="s">
        <v>23</v>
      </c>
    </row>
    <row r="299" spans="1:17" ht="15">
      <c r="A299" t="s">
        <v>17</v>
      </c>
      <c r="B299" s="1">
        <v>41807</v>
      </c>
      <c r="C299" t="s">
        <v>625</v>
      </c>
      <c r="D299" t="str">
        <f>CONCATENATE("0130003081","")</f>
        <v>0130003081</v>
      </c>
      <c r="E299" t="str">
        <f>CONCATENATE("0060222000060       ","")</f>
        <v>0060222000060       </v>
      </c>
      <c r="F299" t="str">
        <f>CONCATENATE("605121355","")</f>
        <v>605121355</v>
      </c>
      <c r="G299" t="s">
        <v>671</v>
      </c>
      <c r="H299" t="s">
        <v>672</v>
      </c>
      <c r="I299" t="s">
        <v>673</v>
      </c>
      <c r="J299" t="str">
        <f t="shared" si="44"/>
        <v>080603</v>
      </c>
      <c r="K299" t="s">
        <v>21</v>
      </c>
      <c r="L299" t="s">
        <v>22</v>
      </c>
      <c r="M299" t="str">
        <f t="shared" si="45"/>
        <v>1</v>
      </c>
      <c r="O299" t="str">
        <f aca="true" t="shared" si="46" ref="O299:O306">CONCATENATE("1 ","")</f>
        <v>1 </v>
      </c>
      <c r="P299">
        <v>11.3</v>
      </c>
      <c r="Q299" t="s">
        <v>23</v>
      </c>
    </row>
    <row r="300" spans="1:17" ht="15">
      <c r="A300" t="s">
        <v>17</v>
      </c>
      <c r="B300" s="1">
        <v>41807</v>
      </c>
      <c r="C300" t="s">
        <v>625</v>
      </c>
      <c r="D300" t="str">
        <f>CONCATENATE("0130003109","")</f>
        <v>0130003109</v>
      </c>
      <c r="E300" t="str">
        <f>CONCATENATE("0060223000350       ","")</f>
        <v>0060223000350       </v>
      </c>
      <c r="F300" t="str">
        <f>CONCATENATE("605555215","")</f>
        <v>605555215</v>
      </c>
      <c r="G300" t="s">
        <v>674</v>
      </c>
      <c r="H300" t="s">
        <v>675</v>
      </c>
      <c r="I300" t="s">
        <v>676</v>
      </c>
      <c r="J300" t="str">
        <f t="shared" si="44"/>
        <v>080603</v>
      </c>
      <c r="K300" t="s">
        <v>21</v>
      </c>
      <c r="L300" t="s">
        <v>22</v>
      </c>
      <c r="M300" t="str">
        <f t="shared" si="45"/>
        <v>1</v>
      </c>
      <c r="O300" t="str">
        <f t="shared" si="46"/>
        <v>1 </v>
      </c>
      <c r="P300">
        <v>20.35</v>
      </c>
      <c r="Q300" t="s">
        <v>23</v>
      </c>
    </row>
    <row r="301" spans="1:17" ht="15">
      <c r="A301" t="s">
        <v>17</v>
      </c>
      <c r="B301" s="1">
        <v>41807</v>
      </c>
      <c r="C301" t="s">
        <v>625</v>
      </c>
      <c r="D301" t="str">
        <f>CONCATENATE("0130009888","")</f>
        <v>0130009888</v>
      </c>
      <c r="E301" t="str">
        <f>CONCATENATE("0060225000031       ","")</f>
        <v>0060225000031       </v>
      </c>
      <c r="F301" t="str">
        <f>CONCATENATE("00582294","")</f>
        <v>00582294</v>
      </c>
      <c r="G301" t="s">
        <v>677</v>
      </c>
      <c r="H301" t="s">
        <v>678</v>
      </c>
      <c r="I301" t="s">
        <v>679</v>
      </c>
      <c r="J301" t="str">
        <f t="shared" si="44"/>
        <v>080603</v>
      </c>
      <c r="K301" t="s">
        <v>21</v>
      </c>
      <c r="L301" t="s">
        <v>22</v>
      </c>
      <c r="M301" t="str">
        <f>CONCATENATE("3","")</f>
        <v>3</v>
      </c>
      <c r="O301" t="str">
        <f t="shared" si="46"/>
        <v>1 </v>
      </c>
      <c r="P301">
        <v>65.2</v>
      </c>
      <c r="Q301" t="s">
        <v>68</v>
      </c>
    </row>
    <row r="302" spans="1:17" ht="15">
      <c r="A302" t="s">
        <v>17</v>
      </c>
      <c r="B302" s="1">
        <v>41807</v>
      </c>
      <c r="C302" t="s">
        <v>625</v>
      </c>
      <c r="D302" t="str">
        <f>CONCATENATE("0130003123","")</f>
        <v>0130003123</v>
      </c>
      <c r="E302" t="str">
        <f>CONCATENATE("0060225000100       ","")</f>
        <v>0060225000100       </v>
      </c>
      <c r="F302" t="str">
        <f>CONCATENATE("605347468","")</f>
        <v>605347468</v>
      </c>
      <c r="G302" t="s">
        <v>677</v>
      </c>
      <c r="H302" t="s">
        <v>680</v>
      </c>
      <c r="I302" t="s">
        <v>681</v>
      </c>
      <c r="J302" t="str">
        <f t="shared" si="44"/>
        <v>080603</v>
      </c>
      <c r="K302" t="s">
        <v>21</v>
      </c>
      <c r="L302" t="s">
        <v>22</v>
      </c>
      <c r="M302" t="str">
        <f aca="true" t="shared" si="47" ref="M302:M313">CONCATENATE("1","")</f>
        <v>1</v>
      </c>
      <c r="O302" t="str">
        <f t="shared" si="46"/>
        <v>1 </v>
      </c>
      <c r="P302">
        <v>10.55</v>
      </c>
      <c r="Q302" t="s">
        <v>23</v>
      </c>
    </row>
    <row r="303" spans="1:17" ht="15">
      <c r="A303" t="s">
        <v>17</v>
      </c>
      <c r="B303" s="1">
        <v>41807</v>
      </c>
      <c r="C303" t="s">
        <v>625</v>
      </c>
      <c r="D303" t="str">
        <f>CONCATENATE("0130003129","")</f>
        <v>0130003129</v>
      </c>
      <c r="E303" t="str">
        <f>CONCATENATE("0060225000170       ","")</f>
        <v>0060225000170       </v>
      </c>
      <c r="F303" t="str">
        <f>CONCATENATE("605554539","")</f>
        <v>605554539</v>
      </c>
      <c r="G303" t="s">
        <v>677</v>
      </c>
      <c r="H303" t="s">
        <v>682</v>
      </c>
      <c r="I303" t="s">
        <v>681</v>
      </c>
      <c r="J303" t="str">
        <f t="shared" si="44"/>
        <v>080603</v>
      </c>
      <c r="K303" t="s">
        <v>21</v>
      </c>
      <c r="L303" t="s">
        <v>22</v>
      </c>
      <c r="M303" t="str">
        <f t="shared" si="47"/>
        <v>1</v>
      </c>
      <c r="O303" t="str">
        <f t="shared" si="46"/>
        <v>1 </v>
      </c>
      <c r="P303">
        <v>12.5</v>
      </c>
      <c r="Q303" t="s">
        <v>23</v>
      </c>
    </row>
    <row r="304" spans="1:17" ht="15">
      <c r="A304" t="s">
        <v>17</v>
      </c>
      <c r="B304" s="1">
        <v>41807</v>
      </c>
      <c r="C304" t="s">
        <v>625</v>
      </c>
      <c r="D304" t="str">
        <f>CONCATENATE("0130013259","")</f>
        <v>0130013259</v>
      </c>
      <c r="E304" t="str">
        <f>CONCATENATE("0060225000605       ","")</f>
        <v>0060225000605       </v>
      </c>
      <c r="F304" t="str">
        <f>CONCATENATE("606668395","")</f>
        <v>606668395</v>
      </c>
      <c r="G304" t="s">
        <v>677</v>
      </c>
      <c r="H304" t="s">
        <v>683</v>
      </c>
      <c r="I304" t="s">
        <v>684</v>
      </c>
      <c r="J304" t="str">
        <f t="shared" si="44"/>
        <v>080603</v>
      </c>
      <c r="K304" t="s">
        <v>21</v>
      </c>
      <c r="L304" t="s">
        <v>22</v>
      </c>
      <c r="M304" t="str">
        <f t="shared" si="47"/>
        <v>1</v>
      </c>
      <c r="O304" t="str">
        <f t="shared" si="46"/>
        <v>1 </v>
      </c>
      <c r="P304">
        <v>146.55</v>
      </c>
      <c r="Q304" t="s">
        <v>23</v>
      </c>
    </row>
    <row r="305" spans="1:17" ht="15">
      <c r="A305" t="s">
        <v>17</v>
      </c>
      <c r="B305" s="1">
        <v>41807</v>
      </c>
      <c r="C305" t="s">
        <v>625</v>
      </c>
      <c r="D305" t="str">
        <f>CONCATENATE("0130021599","")</f>
        <v>0130021599</v>
      </c>
      <c r="E305" t="str">
        <f>CONCATENATE("0060225001125       ","")</f>
        <v>0060225001125       </v>
      </c>
      <c r="F305" t="str">
        <f>CONCATENATE("1939184","")</f>
        <v>1939184</v>
      </c>
      <c r="G305" t="s">
        <v>677</v>
      </c>
      <c r="H305" t="s">
        <v>685</v>
      </c>
      <c r="I305" t="s">
        <v>686</v>
      </c>
      <c r="J305" t="str">
        <f t="shared" si="44"/>
        <v>080603</v>
      </c>
      <c r="K305" t="s">
        <v>21</v>
      </c>
      <c r="L305" t="s">
        <v>22</v>
      </c>
      <c r="M305" t="str">
        <f t="shared" si="47"/>
        <v>1</v>
      </c>
      <c r="O305" t="str">
        <f t="shared" si="46"/>
        <v>1 </v>
      </c>
      <c r="P305">
        <v>18.8</v>
      </c>
      <c r="Q305" t="s">
        <v>23</v>
      </c>
    </row>
    <row r="306" spans="1:17" ht="15">
      <c r="A306" t="s">
        <v>17</v>
      </c>
      <c r="B306" s="1">
        <v>41807</v>
      </c>
      <c r="C306" t="s">
        <v>625</v>
      </c>
      <c r="D306" t="str">
        <f>CONCATENATE("0130021091","")</f>
        <v>0130021091</v>
      </c>
      <c r="E306" t="str">
        <f>CONCATENATE("0060226000320       ","")</f>
        <v>0060226000320       </v>
      </c>
      <c r="F306" t="str">
        <f>CONCATENATE("1869453","")</f>
        <v>1869453</v>
      </c>
      <c r="G306" t="s">
        <v>677</v>
      </c>
      <c r="H306" t="s">
        <v>687</v>
      </c>
      <c r="I306" t="s">
        <v>688</v>
      </c>
      <c r="J306" t="str">
        <f t="shared" si="44"/>
        <v>080603</v>
      </c>
      <c r="K306" t="s">
        <v>21</v>
      </c>
      <c r="L306" t="s">
        <v>22</v>
      </c>
      <c r="M306" t="str">
        <f t="shared" si="47"/>
        <v>1</v>
      </c>
      <c r="O306" t="str">
        <f t="shared" si="46"/>
        <v>1 </v>
      </c>
      <c r="P306">
        <v>22.15</v>
      </c>
      <c r="Q306" t="s">
        <v>23</v>
      </c>
    </row>
    <row r="307" spans="1:17" ht="15">
      <c r="A307" t="s">
        <v>17</v>
      </c>
      <c r="B307" s="1">
        <v>41807</v>
      </c>
      <c r="C307" t="s">
        <v>625</v>
      </c>
      <c r="D307" t="str">
        <f>CONCATENATE("0130013565","")</f>
        <v>0130013565</v>
      </c>
      <c r="E307" t="str">
        <f>CONCATENATE("0060226000358       ","")</f>
        <v>0060226000358       </v>
      </c>
      <c r="F307" t="str">
        <f>CONCATENATE("606663064","")</f>
        <v>606663064</v>
      </c>
      <c r="G307" t="s">
        <v>677</v>
      </c>
      <c r="H307" t="s">
        <v>689</v>
      </c>
      <c r="I307" t="s">
        <v>690</v>
      </c>
      <c r="J307" t="str">
        <f t="shared" si="44"/>
        <v>080603</v>
      </c>
      <c r="K307" t="s">
        <v>21</v>
      </c>
      <c r="L307" t="s">
        <v>22</v>
      </c>
      <c r="M307" t="str">
        <f t="shared" si="47"/>
        <v>1</v>
      </c>
      <c r="O307" t="str">
        <f>CONCATENATE("5 ","")</f>
        <v>5 </v>
      </c>
      <c r="P307">
        <v>202.6</v>
      </c>
      <c r="Q307" t="s">
        <v>23</v>
      </c>
    </row>
    <row r="308" spans="1:17" ht="15">
      <c r="A308" t="s">
        <v>17</v>
      </c>
      <c r="B308" s="1">
        <v>41807</v>
      </c>
      <c r="C308" t="s">
        <v>625</v>
      </c>
      <c r="D308" t="str">
        <f>CONCATENATE("0130021308","")</f>
        <v>0130021308</v>
      </c>
      <c r="E308" t="str">
        <f>CONCATENATE("0060227000200       ","")</f>
        <v>0060227000200       </v>
      </c>
      <c r="F308" t="str">
        <f>CONCATENATE("1939022","")</f>
        <v>1939022</v>
      </c>
      <c r="G308" t="s">
        <v>693</v>
      </c>
      <c r="H308" t="s">
        <v>691</v>
      </c>
      <c r="I308" t="s">
        <v>692</v>
      </c>
      <c r="J308" t="str">
        <f t="shared" si="44"/>
        <v>080603</v>
      </c>
      <c r="K308" t="s">
        <v>21</v>
      </c>
      <c r="L308" t="s">
        <v>22</v>
      </c>
      <c r="M308" t="str">
        <f t="shared" si="47"/>
        <v>1</v>
      </c>
      <c r="O308" t="str">
        <f>CONCATENATE("2 ","")</f>
        <v>2 </v>
      </c>
      <c r="P308">
        <v>16</v>
      </c>
      <c r="Q308" t="s">
        <v>23</v>
      </c>
    </row>
    <row r="309" spans="1:17" ht="15">
      <c r="A309" t="s">
        <v>17</v>
      </c>
      <c r="B309" s="1">
        <v>41807</v>
      </c>
      <c r="C309" t="s">
        <v>625</v>
      </c>
      <c r="D309" t="str">
        <f>CONCATENATE("0040032659","")</f>
        <v>0040032659</v>
      </c>
      <c r="E309" t="str">
        <f>CONCATENATE("0060242001035       ","")</f>
        <v>0060242001035       </v>
      </c>
      <c r="F309" t="str">
        <f>CONCATENATE("0606033686","")</f>
        <v>0606033686</v>
      </c>
      <c r="G309" t="s">
        <v>693</v>
      </c>
      <c r="H309" t="s">
        <v>694</v>
      </c>
      <c r="I309" t="s">
        <v>695</v>
      </c>
      <c r="J309" t="str">
        <f t="shared" si="44"/>
        <v>080603</v>
      </c>
      <c r="K309" t="s">
        <v>21</v>
      </c>
      <c r="L309" t="s">
        <v>22</v>
      </c>
      <c r="M309" t="str">
        <f t="shared" si="47"/>
        <v>1</v>
      </c>
      <c r="O309" t="str">
        <f>CONCATENATE("1 ","")</f>
        <v>1 </v>
      </c>
      <c r="P309">
        <v>12.15</v>
      </c>
      <c r="Q309" t="s">
        <v>23</v>
      </c>
    </row>
    <row r="310" spans="1:17" ht="15">
      <c r="A310" t="s">
        <v>17</v>
      </c>
      <c r="B310" s="1">
        <v>41807</v>
      </c>
      <c r="C310" t="s">
        <v>696</v>
      </c>
      <c r="D310" t="str">
        <f>CONCATENATE("0040027906","")</f>
        <v>0040027906</v>
      </c>
      <c r="E310" t="str">
        <f>CONCATENATE("0060242002043       ","")</f>
        <v>0060242002043       </v>
      </c>
      <c r="F310" t="str">
        <f>CONCATENATE("2125148","")</f>
        <v>2125148</v>
      </c>
      <c r="G310" t="s">
        <v>693</v>
      </c>
      <c r="H310" t="s">
        <v>697</v>
      </c>
      <c r="I310" t="s">
        <v>698</v>
      </c>
      <c r="J310" t="str">
        <f>CONCATENATE("080606","")</f>
        <v>080606</v>
      </c>
      <c r="K310" t="s">
        <v>21</v>
      </c>
      <c r="L310" t="s">
        <v>22</v>
      </c>
      <c r="M310" t="str">
        <f t="shared" si="47"/>
        <v>1</v>
      </c>
      <c r="O310" t="str">
        <f>CONCATENATE("1 ","")</f>
        <v>1 </v>
      </c>
      <c r="P310">
        <v>11.35</v>
      </c>
      <c r="Q310" t="s">
        <v>23</v>
      </c>
    </row>
    <row r="311" spans="1:17" ht="15">
      <c r="A311" t="s">
        <v>17</v>
      </c>
      <c r="B311" s="1">
        <v>41807</v>
      </c>
      <c r="C311" t="s">
        <v>625</v>
      </c>
      <c r="D311" t="str">
        <f>CONCATENATE("0040033025","")</f>
        <v>0040033025</v>
      </c>
      <c r="E311" t="str">
        <f>CONCATENATE("0060242003035       ","")</f>
        <v>0060242003035       </v>
      </c>
      <c r="F311" t="str">
        <f>CONCATENATE("0606033692","")</f>
        <v>0606033692</v>
      </c>
      <c r="G311" t="s">
        <v>693</v>
      </c>
      <c r="H311" t="s">
        <v>699</v>
      </c>
      <c r="I311" t="s">
        <v>695</v>
      </c>
      <c r="J311" t="str">
        <f>CONCATENATE("080603","")</f>
        <v>080603</v>
      </c>
      <c r="K311" t="s">
        <v>21</v>
      </c>
      <c r="L311" t="s">
        <v>22</v>
      </c>
      <c r="M311" t="str">
        <f t="shared" si="47"/>
        <v>1</v>
      </c>
      <c r="O311" t="str">
        <f>CONCATENATE("4 ","")</f>
        <v>4 </v>
      </c>
      <c r="P311">
        <v>56.5</v>
      </c>
      <c r="Q311" t="s">
        <v>23</v>
      </c>
    </row>
    <row r="312" spans="1:17" ht="15">
      <c r="A312" t="s">
        <v>17</v>
      </c>
      <c r="B312" s="1">
        <v>41807</v>
      </c>
      <c r="C312" t="s">
        <v>700</v>
      </c>
      <c r="D312" t="str">
        <f>CONCATENATE("0130003298","")</f>
        <v>0130003298</v>
      </c>
      <c r="E312" t="str">
        <f>CONCATENATE("0060301000620       ","")</f>
        <v>0060301000620       </v>
      </c>
      <c r="F312" t="str">
        <f>CONCATENATE("605230578","")</f>
        <v>605230578</v>
      </c>
      <c r="G312" t="s">
        <v>701</v>
      </c>
      <c r="H312" t="s">
        <v>702</v>
      </c>
      <c r="I312" t="s">
        <v>703</v>
      </c>
      <c r="J312" t="str">
        <f>CONCATENATE("080602","")</f>
        <v>080602</v>
      </c>
      <c r="K312" t="s">
        <v>21</v>
      </c>
      <c r="L312" t="s">
        <v>22</v>
      </c>
      <c r="M312" t="str">
        <f t="shared" si="47"/>
        <v>1</v>
      </c>
      <c r="O312" t="str">
        <f aca="true" t="shared" si="48" ref="O312:O325">CONCATENATE("1 ","")</f>
        <v>1 </v>
      </c>
      <c r="P312">
        <v>18.75</v>
      </c>
      <c r="Q312" t="s">
        <v>23</v>
      </c>
    </row>
    <row r="313" spans="1:17" ht="15">
      <c r="A313" t="s">
        <v>17</v>
      </c>
      <c r="B313" s="1">
        <v>41807</v>
      </c>
      <c r="C313" t="s">
        <v>700</v>
      </c>
      <c r="D313" t="str">
        <f>CONCATENATE("0130003345","")</f>
        <v>0130003345</v>
      </c>
      <c r="E313" t="str">
        <f>CONCATENATE("0060301001580       ","")</f>
        <v>0060301001580       </v>
      </c>
      <c r="F313" t="str">
        <f>CONCATENATE("605121322","")</f>
        <v>605121322</v>
      </c>
      <c r="G313" t="s">
        <v>701</v>
      </c>
      <c r="H313" t="s">
        <v>704</v>
      </c>
      <c r="I313" t="s">
        <v>705</v>
      </c>
      <c r="J313" t="str">
        <f>CONCATENATE("080602","")</f>
        <v>080602</v>
      </c>
      <c r="K313" t="s">
        <v>21</v>
      </c>
      <c r="L313" t="s">
        <v>22</v>
      </c>
      <c r="M313" t="str">
        <f t="shared" si="47"/>
        <v>1</v>
      </c>
      <c r="O313" t="str">
        <f t="shared" si="48"/>
        <v>1 </v>
      </c>
      <c r="P313">
        <v>108.05</v>
      </c>
      <c r="Q313" t="s">
        <v>23</v>
      </c>
    </row>
    <row r="314" spans="1:17" ht="15">
      <c r="A314" t="s">
        <v>17</v>
      </c>
      <c r="B314" s="1">
        <v>41807</v>
      </c>
      <c r="C314" t="s">
        <v>700</v>
      </c>
      <c r="D314" t="str">
        <f>CONCATENATE("0130003356","")</f>
        <v>0130003356</v>
      </c>
      <c r="E314" t="str">
        <f>CONCATENATE("0060302000050       ","")</f>
        <v>0060302000050       </v>
      </c>
      <c r="F314" t="str">
        <f>CONCATENATE("00409552568","")</f>
        <v>00409552568</v>
      </c>
      <c r="G314" t="s">
        <v>706</v>
      </c>
      <c r="H314" t="s">
        <v>707</v>
      </c>
      <c r="I314" t="s">
        <v>227</v>
      </c>
      <c r="J314" t="str">
        <f>CONCATENATE("080602","")</f>
        <v>080602</v>
      </c>
      <c r="K314" t="s">
        <v>21</v>
      </c>
      <c r="L314" t="s">
        <v>22</v>
      </c>
      <c r="M314" t="str">
        <f>CONCATENATE("3","")</f>
        <v>3</v>
      </c>
      <c r="O314" t="str">
        <f t="shared" si="48"/>
        <v>1 </v>
      </c>
      <c r="P314">
        <v>568.75</v>
      </c>
      <c r="Q314" t="s">
        <v>68</v>
      </c>
    </row>
    <row r="315" spans="1:17" ht="15">
      <c r="A315" t="s">
        <v>17</v>
      </c>
      <c r="B315" s="1">
        <v>41807</v>
      </c>
      <c r="C315" t="s">
        <v>700</v>
      </c>
      <c r="D315" t="str">
        <f>CONCATENATE("0130003357","")</f>
        <v>0130003357</v>
      </c>
      <c r="E315" t="str">
        <f>CONCATENATE("0060302000060       ","")</f>
        <v>0060302000060       </v>
      </c>
      <c r="F315" t="str">
        <f>CONCATENATE("605747576","")</f>
        <v>605747576</v>
      </c>
      <c r="G315" t="s">
        <v>706</v>
      </c>
      <c r="H315" t="s">
        <v>708</v>
      </c>
      <c r="I315" t="s">
        <v>58</v>
      </c>
      <c r="J315" t="str">
        <f>CONCATENATE("080602","")</f>
        <v>080602</v>
      </c>
      <c r="K315" t="s">
        <v>21</v>
      </c>
      <c r="L315" t="s">
        <v>22</v>
      </c>
      <c r="M315" t="str">
        <f aca="true" t="shared" si="49" ref="M315:M337">CONCATENATE("1","")</f>
        <v>1</v>
      </c>
      <c r="O315" t="str">
        <f t="shared" si="48"/>
        <v>1 </v>
      </c>
      <c r="P315">
        <v>2569.9</v>
      </c>
      <c r="Q315" t="s">
        <v>23</v>
      </c>
    </row>
    <row r="316" spans="1:17" ht="15">
      <c r="A316" t="s">
        <v>17</v>
      </c>
      <c r="B316" s="1">
        <v>41807</v>
      </c>
      <c r="C316" t="s">
        <v>625</v>
      </c>
      <c r="D316" t="str">
        <f>CONCATENATE("0130003358","")</f>
        <v>0130003358</v>
      </c>
      <c r="E316" t="str">
        <f>CONCATENATE("0060302000065       ","")</f>
        <v>0060302000065       </v>
      </c>
      <c r="F316" t="str">
        <f>CONCATENATE("21275","")</f>
        <v>21275</v>
      </c>
      <c r="G316" t="s">
        <v>706</v>
      </c>
      <c r="H316" t="s">
        <v>709</v>
      </c>
      <c r="I316" t="s">
        <v>710</v>
      </c>
      <c r="J316" t="str">
        <f>CONCATENATE("080603","")</f>
        <v>080603</v>
      </c>
      <c r="K316" t="s">
        <v>21</v>
      </c>
      <c r="L316" t="s">
        <v>22</v>
      </c>
      <c r="M316" t="str">
        <f t="shared" si="49"/>
        <v>1</v>
      </c>
      <c r="O316" t="str">
        <f t="shared" si="48"/>
        <v>1 </v>
      </c>
      <c r="P316">
        <v>12.5</v>
      </c>
      <c r="Q316" t="s">
        <v>23</v>
      </c>
    </row>
    <row r="317" spans="1:17" ht="15">
      <c r="A317" t="s">
        <v>17</v>
      </c>
      <c r="B317" s="1">
        <v>41807</v>
      </c>
      <c r="C317" t="s">
        <v>700</v>
      </c>
      <c r="D317" t="str">
        <f>CONCATENATE("0130011793","")</f>
        <v>0130011793</v>
      </c>
      <c r="E317" t="str">
        <f>CONCATENATE("0060302000196       ","")</f>
        <v>0060302000196       </v>
      </c>
      <c r="F317" t="str">
        <f>CONCATENATE("605754853","")</f>
        <v>605754853</v>
      </c>
      <c r="G317" t="s">
        <v>706</v>
      </c>
      <c r="H317" t="s">
        <v>711</v>
      </c>
      <c r="I317" t="s">
        <v>712</v>
      </c>
      <c r="J317" t="str">
        <f aca="true" t="shared" si="50" ref="J317:J334">CONCATENATE("080602","")</f>
        <v>080602</v>
      </c>
      <c r="K317" t="s">
        <v>21</v>
      </c>
      <c r="L317" t="s">
        <v>22</v>
      </c>
      <c r="M317" t="str">
        <f t="shared" si="49"/>
        <v>1</v>
      </c>
      <c r="O317" t="str">
        <f t="shared" si="48"/>
        <v>1 </v>
      </c>
      <c r="P317">
        <v>50.8</v>
      </c>
      <c r="Q317" t="s">
        <v>23</v>
      </c>
    </row>
    <row r="318" spans="1:17" ht="15">
      <c r="A318" t="s">
        <v>17</v>
      </c>
      <c r="B318" s="1">
        <v>41807</v>
      </c>
      <c r="C318" t="s">
        <v>700</v>
      </c>
      <c r="D318" t="str">
        <f>CONCATENATE("0130013934","")</f>
        <v>0130013934</v>
      </c>
      <c r="E318" t="str">
        <f>CONCATENATE("0060302000590       ","")</f>
        <v>0060302000590       </v>
      </c>
      <c r="F318" t="str">
        <f>CONCATENATE("606664689","")</f>
        <v>606664689</v>
      </c>
      <c r="G318" t="s">
        <v>706</v>
      </c>
      <c r="H318" t="s">
        <v>713</v>
      </c>
      <c r="I318" t="s">
        <v>623</v>
      </c>
      <c r="J318" t="str">
        <f t="shared" si="50"/>
        <v>080602</v>
      </c>
      <c r="K318" t="s">
        <v>21</v>
      </c>
      <c r="L318" t="s">
        <v>22</v>
      </c>
      <c r="M318" t="str">
        <f t="shared" si="49"/>
        <v>1</v>
      </c>
      <c r="O318" t="str">
        <f t="shared" si="48"/>
        <v>1 </v>
      </c>
      <c r="P318">
        <v>94.05</v>
      </c>
      <c r="Q318" t="s">
        <v>23</v>
      </c>
    </row>
    <row r="319" spans="1:17" ht="15">
      <c r="A319" t="s">
        <v>17</v>
      </c>
      <c r="B319" s="1">
        <v>41807</v>
      </c>
      <c r="C319" t="s">
        <v>700</v>
      </c>
      <c r="D319" t="str">
        <f>CONCATENATE("0130008401","")</f>
        <v>0130008401</v>
      </c>
      <c r="E319" t="str">
        <f>CONCATENATE("0060302001185       ","")</f>
        <v>0060302001185       </v>
      </c>
      <c r="F319" t="str">
        <f>CONCATENATE("605121326","")</f>
        <v>605121326</v>
      </c>
      <c r="G319" t="s">
        <v>706</v>
      </c>
      <c r="H319" t="s">
        <v>714</v>
      </c>
      <c r="I319" t="s">
        <v>715</v>
      </c>
      <c r="J319" t="str">
        <f t="shared" si="50"/>
        <v>080602</v>
      </c>
      <c r="K319" t="s">
        <v>21</v>
      </c>
      <c r="L319" t="s">
        <v>22</v>
      </c>
      <c r="M319" t="str">
        <f t="shared" si="49"/>
        <v>1</v>
      </c>
      <c r="O319" t="str">
        <f t="shared" si="48"/>
        <v>1 </v>
      </c>
      <c r="P319">
        <v>72.85</v>
      </c>
      <c r="Q319" t="s">
        <v>23</v>
      </c>
    </row>
    <row r="320" spans="1:17" ht="15">
      <c r="A320" t="s">
        <v>17</v>
      </c>
      <c r="B320" s="1">
        <v>41807</v>
      </c>
      <c r="C320" t="s">
        <v>700</v>
      </c>
      <c r="D320" t="str">
        <f>CONCATENATE("0130009639","")</f>
        <v>0130009639</v>
      </c>
      <c r="E320" t="str">
        <f>CONCATENATE("0060302001187       ","")</f>
        <v>0060302001187       </v>
      </c>
      <c r="F320" t="str">
        <f>CONCATENATE("07551334","")</f>
        <v>07551334</v>
      </c>
      <c r="G320" t="s">
        <v>706</v>
      </c>
      <c r="H320" t="s">
        <v>716</v>
      </c>
      <c r="I320" t="s">
        <v>717</v>
      </c>
      <c r="J320" t="str">
        <f t="shared" si="50"/>
        <v>080602</v>
      </c>
      <c r="K320" t="s">
        <v>21</v>
      </c>
      <c r="L320" t="s">
        <v>22</v>
      </c>
      <c r="M320" t="str">
        <f t="shared" si="49"/>
        <v>1</v>
      </c>
      <c r="O320" t="str">
        <f t="shared" si="48"/>
        <v>1 </v>
      </c>
      <c r="P320">
        <v>12.2</v>
      </c>
      <c r="Q320" t="s">
        <v>23</v>
      </c>
    </row>
    <row r="321" spans="1:17" ht="15">
      <c r="A321" t="s">
        <v>17</v>
      </c>
      <c r="B321" s="1">
        <v>41807</v>
      </c>
      <c r="C321" t="s">
        <v>700</v>
      </c>
      <c r="D321" t="str">
        <f>CONCATENATE("0130019633","")</f>
        <v>0130019633</v>
      </c>
      <c r="E321" t="str">
        <f>CONCATENATE("0060302002063       ","")</f>
        <v>0060302002063       </v>
      </c>
      <c r="F321" t="str">
        <f>CONCATENATE("605933652","")</f>
        <v>605933652</v>
      </c>
      <c r="G321" t="s">
        <v>706</v>
      </c>
      <c r="H321" t="s">
        <v>718</v>
      </c>
      <c r="I321" t="s">
        <v>719</v>
      </c>
      <c r="J321" t="str">
        <f t="shared" si="50"/>
        <v>080602</v>
      </c>
      <c r="K321" t="s">
        <v>21</v>
      </c>
      <c r="L321" t="s">
        <v>22</v>
      </c>
      <c r="M321" t="str">
        <f t="shared" si="49"/>
        <v>1</v>
      </c>
      <c r="O321" t="str">
        <f t="shared" si="48"/>
        <v>1 </v>
      </c>
      <c r="P321">
        <v>2342.2</v>
      </c>
      <c r="Q321" t="s">
        <v>23</v>
      </c>
    </row>
    <row r="322" spans="1:17" ht="15">
      <c r="A322" t="s">
        <v>17</v>
      </c>
      <c r="B322" s="1">
        <v>41807</v>
      </c>
      <c r="C322" t="s">
        <v>700</v>
      </c>
      <c r="D322" t="str">
        <f>CONCATENATE("0130011894","")</f>
        <v>0130011894</v>
      </c>
      <c r="E322" t="str">
        <f>CONCATENATE("0060303001110       ","")</f>
        <v>0060303001110       </v>
      </c>
      <c r="F322" t="str">
        <f>CONCATENATE("00002758728","")</f>
        <v>00002758728</v>
      </c>
      <c r="G322" t="s">
        <v>720</v>
      </c>
      <c r="H322" t="s">
        <v>721</v>
      </c>
      <c r="I322" t="s">
        <v>722</v>
      </c>
      <c r="J322" t="str">
        <f t="shared" si="50"/>
        <v>080602</v>
      </c>
      <c r="K322" t="s">
        <v>21</v>
      </c>
      <c r="L322" t="s">
        <v>22</v>
      </c>
      <c r="M322" t="str">
        <f t="shared" si="49"/>
        <v>1</v>
      </c>
      <c r="O322" t="str">
        <f t="shared" si="48"/>
        <v>1 </v>
      </c>
      <c r="P322">
        <v>37.85</v>
      </c>
      <c r="Q322" t="s">
        <v>23</v>
      </c>
    </row>
    <row r="323" spans="1:17" ht="15">
      <c r="A323" t="s">
        <v>17</v>
      </c>
      <c r="B323" s="1">
        <v>41807</v>
      </c>
      <c r="C323" t="s">
        <v>700</v>
      </c>
      <c r="D323" t="str">
        <f>CONCATENATE("0130007363","")</f>
        <v>0130007363</v>
      </c>
      <c r="E323" t="str">
        <f>CONCATENATE("0060303002435       ","")</f>
        <v>0060303002435       </v>
      </c>
      <c r="F323" t="str">
        <f>CONCATENATE("1930806","")</f>
        <v>1930806</v>
      </c>
      <c r="G323" t="s">
        <v>720</v>
      </c>
      <c r="H323" t="s">
        <v>723</v>
      </c>
      <c r="I323" t="s">
        <v>724</v>
      </c>
      <c r="J323" t="str">
        <f t="shared" si="50"/>
        <v>080602</v>
      </c>
      <c r="K323" t="s">
        <v>21</v>
      </c>
      <c r="L323" t="s">
        <v>22</v>
      </c>
      <c r="M323" t="str">
        <f t="shared" si="49"/>
        <v>1</v>
      </c>
      <c r="O323" t="str">
        <f t="shared" si="48"/>
        <v>1 </v>
      </c>
      <c r="P323">
        <v>17.1</v>
      </c>
      <c r="Q323" t="s">
        <v>23</v>
      </c>
    </row>
    <row r="324" spans="1:17" ht="15">
      <c r="A324" t="s">
        <v>17</v>
      </c>
      <c r="B324" s="1">
        <v>41807</v>
      </c>
      <c r="C324" t="s">
        <v>700</v>
      </c>
      <c r="D324" t="str">
        <f>CONCATENATE("0130010058","")</f>
        <v>0130010058</v>
      </c>
      <c r="E324" t="str">
        <f>CONCATENATE("0060304010280       ","")</f>
        <v>0060304010280       </v>
      </c>
      <c r="F324" t="str">
        <f>CONCATENATE("605743600","")</f>
        <v>605743600</v>
      </c>
      <c r="G324" t="s">
        <v>725</v>
      </c>
      <c r="H324" t="s">
        <v>726</v>
      </c>
      <c r="I324" t="s">
        <v>727</v>
      </c>
      <c r="J324" t="str">
        <f t="shared" si="50"/>
        <v>080602</v>
      </c>
      <c r="K324" t="s">
        <v>21</v>
      </c>
      <c r="L324" t="s">
        <v>22</v>
      </c>
      <c r="M324" t="str">
        <f t="shared" si="49"/>
        <v>1</v>
      </c>
      <c r="O324" t="str">
        <f t="shared" si="48"/>
        <v>1 </v>
      </c>
      <c r="P324">
        <v>22.7</v>
      </c>
      <c r="Q324" t="s">
        <v>23</v>
      </c>
    </row>
    <row r="325" spans="1:17" ht="15">
      <c r="A325" t="s">
        <v>17</v>
      </c>
      <c r="B325" s="1">
        <v>41807</v>
      </c>
      <c r="C325" t="s">
        <v>700</v>
      </c>
      <c r="D325" t="str">
        <f>CONCATENATE("0130010025","")</f>
        <v>0130010025</v>
      </c>
      <c r="E325" t="str">
        <f>CONCATENATE("0060304020110       ","")</f>
        <v>0060304020110       </v>
      </c>
      <c r="F325" t="str">
        <f>CONCATENATE("605756267","")</f>
        <v>605756267</v>
      </c>
      <c r="G325" t="s">
        <v>725</v>
      </c>
      <c r="H325" t="s">
        <v>728</v>
      </c>
      <c r="I325" t="s">
        <v>729</v>
      </c>
      <c r="J325" t="str">
        <f t="shared" si="50"/>
        <v>080602</v>
      </c>
      <c r="K325" t="s">
        <v>21</v>
      </c>
      <c r="L325" t="s">
        <v>22</v>
      </c>
      <c r="M325" t="str">
        <f t="shared" si="49"/>
        <v>1</v>
      </c>
      <c r="O325" t="str">
        <f t="shared" si="48"/>
        <v>1 </v>
      </c>
      <c r="P325">
        <v>13.95</v>
      </c>
      <c r="Q325" t="s">
        <v>23</v>
      </c>
    </row>
    <row r="326" spans="1:17" ht="15">
      <c r="A326" t="s">
        <v>17</v>
      </c>
      <c r="B326" s="1">
        <v>41807</v>
      </c>
      <c r="C326" t="s">
        <v>700</v>
      </c>
      <c r="D326" t="str">
        <f>CONCATENATE("0040026341","")</f>
        <v>0040026341</v>
      </c>
      <c r="E326" t="str">
        <f>CONCATENATE("0060309001372       ","")</f>
        <v>0060309001372       </v>
      </c>
      <c r="F326" t="str">
        <f>CONCATENATE("90500710","")</f>
        <v>90500710</v>
      </c>
      <c r="G326" t="s">
        <v>730</v>
      </c>
      <c r="H326" t="s">
        <v>731</v>
      </c>
      <c r="I326" t="s">
        <v>732</v>
      </c>
      <c r="J326" t="str">
        <f t="shared" si="50"/>
        <v>080602</v>
      </c>
      <c r="K326" t="s">
        <v>21</v>
      </c>
      <c r="L326" t="s">
        <v>22</v>
      </c>
      <c r="M326" t="str">
        <f t="shared" si="49"/>
        <v>1</v>
      </c>
      <c r="O326" t="str">
        <f>CONCATENATE("5 ","")</f>
        <v>5 </v>
      </c>
      <c r="P326">
        <v>39.45</v>
      </c>
      <c r="Q326" t="s">
        <v>23</v>
      </c>
    </row>
    <row r="327" spans="1:17" ht="15">
      <c r="A327" t="s">
        <v>17</v>
      </c>
      <c r="B327" s="1">
        <v>41807</v>
      </c>
      <c r="C327" t="s">
        <v>700</v>
      </c>
      <c r="D327" t="str">
        <f>CONCATENATE("0130017344","")</f>
        <v>0130017344</v>
      </c>
      <c r="E327" t="str">
        <f>CONCATENATE("0060310002025       ","")</f>
        <v>0060310002025       </v>
      </c>
      <c r="F327" t="str">
        <f>CONCATENATE("90500010","")</f>
        <v>90500010</v>
      </c>
      <c r="G327" t="s">
        <v>733</v>
      </c>
      <c r="H327" t="s">
        <v>734</v>
      </c>
      <c r="I327" t="s">
        <v>735</v>
      </c>
      <c r="J327" t="str">
        <f t="shared" si="50"/>
        <v>080602</v>
      </c>
      <c r="K327" t="s">
        <v>21</v>
      </c>
      <c r="L327" t="s">
        <v>22</v>
      </c>
      <c r="M327" t="str">
        <f t="shared" si="49"/>
        <v>1</v>
      </c>
      <c r="O327" t="str">
        <f aca="true" t="shared" si="51" ref="O327:O346">CONCATENATE("1 ","")</f>
        <v>1 </v>
      </c>
      <c r="P327">
        <v>13.65</v>
      </c>
      <c r="Q327" t="s">
        <v>23</v>
      </c>
    </row>
    <row r="328" spans="1:17" ht="15">
      <c r="A328" t="s">
        <v>17</v>
      </c>
      <c r="B328" s="1">
        <v>41807</v>
      </c>
      <c r="C328" t="s">
        <v>700</v>
      </c>
      <c r="D328" t="str">
        <f>CONCATENATE("0130003599","")</f>
        <v>0130003599</v>
      </c>
      <c r="E328" t="str">
        <f>CONCATENATE("0060320000110       ","")</f>
        <v>0060320000110       </v>
      </c>
      <c r="F328" t="str">
        <f>CONCATENATE("605392338","")</f>
        <v>605392338</v>
      </c>
      <c r="G328" t="s">
        <v>736</v>
      </c>
      <c r="H328" t="s">
        <v>737</v>
      </c>
      <c r="I328" t="s">
        <v>738</v>
      </c>
      <c r="J328" t="str">
        <f t="shared" si="50"/>
        <v>080602</v>
      </c>
      <c r="K328" t="s">
        <v>21</v>
      </c>
      <c r="L328" t="s">
        <v>22</v>
      </c>
      <c r="M328" t="str">
        <f t="shared" si="49"/>
        <v>1</v>
      </c>
      <c r="O328" t="str">
        <f t="shared" si="51"/>
        <v>1 </v>
      </c>
      <c r="P328">
        <v>31.1</v>
      </c>
      <c r="Q328" t="s">
        <v>23</v>
      </c>
    </row>
    <row r="329" spans="1:17" ht="15">
      <c r="A329" t="s">
        <v>17</v>
      </c>
      <c r="B329" s="1">
        <v>41807</v>
      </c>
      <c r="C329" t="s">
        <v>700</v>
      </c>
      <c r="D329" t="str">
        <f>CONCATENATE("0130003603","")</f>
        <v>0130003603</v>
      </c>
      <c r="E329" t="str">
        <f>CONCATENATE("0060320000160       ","")</f>
        <v>0060320000160       </v>
      </c>
      <c r="F329" t="str">
        <f>CONCATENATE("605391415","")</f>
        <v>605391415</v>
      </c>
      <c r="G329" t="s">
        <v>736</v>
      </c>
      <c r="H329" t="s">
        <v>739</v>
      </c>
      <c r="I329" t="s">
        <v>738</v>
      </c>
      <c r="J329" t="str">
        <f t="shared" si="50"/>
        <v>080602</v>
      </c>
      <c r="K329" t="s">
        <v>21</v>
      </c>
      <c r="L329" t="s">
        <v>22</v>
      </c>
      <c r="M329" t="str">
        <f t="shared" si="49"/>
        <v>1</v>
      </c>
      <c r="O329" t="str">
        <f t="shared" si="51"/>
        <v>1 </v>
      </c>
      <c r="P329">
        <v>12.5</v>
      </c>
      <c r="Q329" t="s">
        <v>23</v>
      </c>
    </row>
    <row r="330" spans="1:17" ht="15">
      <c r="A330" t="s">
        <v>17</v>
      </c>
      <c r="B330" s="1">
        <v>41807</v>
      </c>
      <c r="C330" t="s">
        <v>700</v>
      </c>
      <c r="D330" t="str">
        <f>CONCATENATE("0130003605","")</f>
        <v>0130003605</v>
      </c>
      <c r="E330" t="str">
        <f>CONCATENATE("0060320000170       ","")</f>
        <v>0060320000170       </v>
      </c>
      <c r="F330" t="str">
        <f>CONCATENATE("0606029654","")</f>
        <v>0606029654</v>
      </c>
      <c r="G330" t="s">
        <v>736</v>
      </c>
      <c r="H330" t="s">
        <v>740</v>
      </c>
      <c r="I330" t="s">
        <v>738</v>
      </c>
      <c r="J330" t="str">
        <f t="shared" si="50"/>
        <v>080602</v>
      </c>
      <c r="K330" t="s">
        <v>21</v>
      </c>
      <c r="L330" t="s">
        <v>22</v>
      </c>
      <c r="M330" t="str">
        <f t="shared" si="49"/>
        <v>1</v>
      </c>
      <c r="O330" t="str">
        <f t="shared" si="51"/>
        <v>1 </v>
      </c>
      <c r="P330">
        <v>15.25</v>
      </c>
      <c r="Q330" t="s">
        <v>23</v>
      </c>
    </row>
    <row r="331" spans="1:17" ht="15">
      <c r="A331" t="s">
        <v>17</v>
      </c>
      <c r="B331" s="1">
        <v>41807</v>
      </c>
      <c r="C331" t="s">
        <v>700</v>
      </c>
      <c r="D331" t="str">
        <f>CONCATENATE("0130021603","")</f>
        <v>0130021603</v>
      </c>
      <c r="E331" t="str">
        <f>CONCATENATE("0060320000257       ","")</f>
        <v>0060320000257       </v>
      </c>
      <c r="F331" t="str">
        <f>CONCATENATE("1939183","")</f>
        <v>1939183</v>
      </c>
      <c r="G331" t="s">
        <v>736</v>
      </c>
      <c r="H331" t="s">
        <v>741</v>
      </c>
      <c r="I331" t="s">
        <v>742</v>
      </c>
      <c r="J331" t="str">
        <f t="shared" si="50"/>
        <v>080602</v>
      </c>
      <c r="K331" t="s">
        <v>21</v>
      </c>
      <c r="L331" t="s">
        <v>22</v>
      </c>
      <c r="M331" t="str">
        <f t="shared" si="49"/>
        <v>1</v>
      </c>
      <c r="O331" t="str">
        <f t="shared" si="51"/>
        <v>1 </v>
      </c>
      <c r="P331">
        <v>51.8</v>
      </c>
      <c r="Q331" t="s">
        <v>23</v>
      </c>
    </row>
    <row r="332" spans="1:17" ht="15">
      <c r="A332" t="s">
        <v>17</v>
      </c>
      <c r="B332" s="1">
        <v>41807</v>
      </c>
      <c r="C332" t="s">
        <v>700</v>
      </c>
      <c r="D332" t="str">
        <f>CONCATENATE("0130003630","")</f>
        <v>0130003630</v>
      </c>
      <c r="E332" t="str">
        <f>CONCATENATE("0060320000510       ","")</f>
        <v>0060320000510       </v>
      </c>
      <c r="F332" t="str">
        <f>CONCATENATE("605118747","")</f>
        <v>605118747</v>
      </c>
      <c r="G332" t="s">
        <v>736</v>
      </c>
      <c r="H332" t="s">
        <v>743</v>
      </c>
      <c r="I332" t="s">
        <v>738</v>
      </c>
      <c r="J332" t="str">
        <f t="shared" si="50"/>
        <v>080602</v>
      </c>
      <c r="K332" t="s">
        <v>21</v>
      </c>
      <c r="L332" t="s">
        <v>22</v>
      </c>
      <c r="M332" t="str">
        <f t="shared" si="49"/>
        <v>1</v>
      </c>
      <c r="O332" t="str">
        <f t="shared" si="51"/>
        <v>1 </v>
      </c>
      <c r="P332">
        <v>28.7</v>
      </c>
      <c r="Q332" t="s">
        <v>23</v>
      </c>
    </row>
    <row r="333" spans="1:17" ht="15">
      <c r="A333" t="s">
        <v>17</v>
      </c>
      <c r="B333" s="1">
        <v>41807</v>
      </c>
      <c r="C333" t="s">
        <v>700</v>
      </c>
      <c r="D333" t="str">
        <f>CONCATENATE("0130003653","")</f>
        <v>0130003653</v>
      </c>
      <c r="E333" t="str">
        <f>CONCATENATE("0060321000400       ","")</f>
        <v>0060321000400       </v>
      </c>
      <c r="F333" t="str">
        <f>CONCATENATE("605392350","")</f>
        <v>605392350</v>
      </c>
      <c r="G333" t="s">
        <v>736</v>
      </c>
      <c r="H333" t="s">
        <v>744</v>
      </c>
      <c r="I333" t="s">
        <v>745</v>
      </c>
      <c r="J333" t="str">
        <f t="shared" si="50"/>
        <v>080602</v>
      </c>
      <c r="K333" t="s">
        <v>21</v>
      </c>
      <c r="L333" t="s">
        <v>22</v>
      </c>
      <c r="M333" t="str">
        <f t="shared" si="49"/>
        <v>1</v>
      </c>
      <c r="O333" t="str">
        <f t="shared" si="51"/>
        <v>1 </v>
      </c>
      <c r="P333">
        <v>34.95</v>
      </c>
      <c r="Q333" t="s">
        <v>23</v>
      </c>
    </row>
    <row r="334" spans="1:17" ht="15">
      <c r="A334" t="s">
        <v>17</v>
      </c>
      <c r="B334" s="1">
        <v>41807</v>
      </c>
      <c r="C334" t="s">
        <v>700</v>
      </c>
      <c r="D334" t="str">
        <f>CONCATENATE("0130003662","")</f>
        <v>0130003662</v>
      </c>
      <c r="E334" t="str">
        <f>CONCATENATE("0060321000500       ","")</f>
        <v>0060321000500       </v>
      </c>
      <c r="F334" t="str">
        <f>CONCATENATE("605391423","")</f>
        <v>605391423</v>
      </c>
      <c r="G334" t="s">
        <v>736</v>
      </c>
      <c r="H334" t="s">
        <v>746</v>
      </c>
      <c r="I334" t="s">
        <v>745</v>
      </c>
      <c r="J334" t="str">
        <f t="shared" si="50"/>
        <v>080602</v>
      </c>
      <c r="K334" t="s">
        <v>21</v>
      </c>
      <c r="L334" t="s">
        <v>22</v>
      </c>
      <c r="M334" t="str">
        <f t="shared" si="49"/>
        <v>1</v>
      </c>
      <c r="O334" t="str">
        <f t="shared" si="51"/>
        <v>1 </v>
      </c>
      <c r="P334">
        <v>18.9</v>
      </c>
      <c r="Q334" t="s">
        <v>23</v>
      </c>
    </row>
    <row r="335" spans="1:17" ht="15">
      <c r="A335" t="s">
        <v>17</v>
      </c>
      <c r="B335" s="1">
        <v>41807</v>
      </c>
      <c r="C335" t="s">
        <v>747</v>
      </c>
      <c r="D335" t="str">
        <f>CONCATENATE("0130012427","")</f>
        <v>0130012427</v>
      </c>
      <c r="E335" t="str">
        <f>CONCATENATE("0060501000030       ","")</f>
        <v>0060501000030       </v>
      </c>
      <c r="F335" t="str">
        <f>CONCATENATE("1601642","")</f>
        <v>1601642</v>
      </c>
      <c r="G335" t="s">
        <v>748</v>
      </c>
      <c r="H335" t="s">
        <v>749</v>
      </c>
      <c r="I335" t="s">
        <v>750</v>
      </c>
      <c r="J335" t="str">
        <f aca="true" t="shared" si="52" ref="J335:J348">CONCATENATE("080605","")</f>
        <v>080605</v>
      </c>
      <c r="K335" t="s">
        <v>21</v>
      </c>
      <c r="L335" t="s">
        <v>22</v>
      </c>
      <c r="M335" t="str">
        <f t="shared" si="49"/>
        <v>1</v>
      </c>
      <c r="O335" t="str">
        <f t="shared" si="51"/>
        <v>1 </v>
      </c>
      <c r="P335">
        <v>38.8</v>
      </c>
      <c r="Q335" t="s">
        <v>23</v>
      </c>
    </row>
    <row r="336" spans="1:17" ht="15">
      <c r="A336" t="s">
        <v>17</v>
      </c>
      <c r="B336" s="1">
        <v>41807</v>
      </c>
      <c r="C336" t="s">
        <v>747</v>
      </c>
      <c r="D336" t="str">
        <f>CONCATENATE("0130003695","")</f>
        <v>0130003695</v>
      </c>
      <c r="E336" t="str">
        <f>CONCATENATE("0060501000590       ","")</f>
        <v>0060501000590       </v>
      </c>
      <c r="F336" t="str">
        <f>CONCATENATE("605743853","")</f>
        <v>605743853</v>
      </c>
      <c r="G336" t="s">
        <v>748</v>
      </c>
      <c r="H336" t="s">
        <v>751</v>
      </c>
      <c r="I336" t="s">
        <v>752</v>
      </c>
      <c r="J336" t="str">
        <f t="shared" si="52"/>
        <v>080605</v>
      </c>
      <c r="K336" t="s">
        <v>21</v>
      </c>
      <c r="L336" t="s">
        <v>22</v>
      </c>
      <c r="M336" t="str">
        <f t="shared" si="49"/>
        <v>1</v>
      </c>
      <c r="O336" t="str">
        <f t="shared" si="51"/>
        <v>1 </v>
      </c>
      <c r="P336">
        <v>50.7</v>
      </c>
      <c r="Q336" t="s">
        <v>23</v>
      </c>
    </row>
    <row r="337" spans="1:17" ht="15">
      <c r="A337" t="s">
        <v>17</v>
      </c>
      <c r="B337" s="1">
        <v>41807</v>
      </c>
      <c r="C337" t="s">
        <v>747</v>
      </c>
      <c r="D337" t="str">
        <f>CONCATENATE("0130007402","")</f>
        <v>0130007402</v>
      </c>
      <c r="E337" t="str">
        <f>CONCATENATE("0060501001060       ","")</f>
        <v>0060501001060       </v>
      </c>
      <c r="F337" t="str">
        <f>CONCATENATE("605119229","")</f>
        <v>605119229</v>
      </c>
      <c r="G337" t="s">
        <v>753</v>
      </c>
      <c r="H337" t="s">
        <v>754</v>
      </c>
      <c r="I337" t="s">
        <v>755</v>
      </c>
      <c r="J337" t="str">
        <f t="shared" si="52"/>
        <v>080605</v>
      </c>
      <c r="K337" t="s">
        <v>21</v>
      </c>
      <c r="L337" t="s">
        <v>22</v>
      </c>
      <c r="M337" t="str">
        <f t="shared" si="49"/>
        <v>1</v>
      </c>
      <c r="O337" t="str">
        <f t="shared" si="51"/>
        <v>1 </v>
      </c>
      <c r="P337">
        <v>24.45</v>
      </c>
      <c r="Q337" t="s">
        <v>23</v>
      </c>
    </row>
    <row r="338" spans="1:17" ht="15">
      <c r="A338" t="s">
        <v>17</v>
      </c>
      <c r="B338" s="1">
        <v>41807</v>
      </c>
      <c r="C338" t="s">
        <v>747</v>
      </c>
      <c r="D338" t="str">
        <f>CONCATENATE("0040028138","")</f>
        <v>0040028138</v>
      </c>
      <c r="E338" t="str">
        <f>CONCATENATE("0060501001143       ","")</f>
        <v>0060501001143       </v>
      </c>
      <c r="F338" t="str">
        <f>CONCATENATE("507030839","")</f>
        <v>507030839</v>
      </c>
      <c r="G338" t="s">
        <v>748</v>
      </c>
      <c r="H338" t="s">
        <v>756</v>
      </c>
      <c r="I338" t="s">
        <v>757</v>
      </c>
      <c r="J338" t="str">
        <f t="shared" si="52"/>
        <v>080605</v>
      </c>
      <c r="K338" t="s">
        <v>21</v>
      </c>
      <c r="L338" t="s">
        <v>22</v>
      </c>
      <c r="M338" t="str">
        <f>CONCATENATE("3","")</f>
        <v>3</v>
      </c>
      <c r="O338" t="str">
        <f t="shared" si="51"/>
        <v>1 </v>
      </c>
      <c r="P338">
        <v>46.3</v>
      </c>
      <c r="Q338" t="s">
        <v>68</v>
      </c>
    </row>
    <row r="339" spans="1:17" ht="15">
      <c r="A339" t="s">
        <v>17</v>
      </c>
      <c r="B339" s="1">
        <v>41807</v>
      </c>
      <c r="C339" t="s">
        <v>747</v>
      </c>
      <c r="D339" t="str">
        <f>CONCATENATE("0130021033","")</f>
        <v>0130021033</v>
      </c>
      <c r="E339" t="str">
        <f>CONCATENATE("0060501001447       ","")</f>
        <v>0060501001447       </v>
      </c>
      <c r="F339" t="str">
        <f>CONCATENATE("1766067","")</f>
        <v>1766067</v>
      </c>
      <c r="G339" t="s">
        <v>748</v>
      </c>
      <c r="H339" t="s">
        <v>758</v>
      </c>
      <c r="I339" t="s">
        <v>759</v>
      </c>
      <c r="J339" t="str">
        <f t="shared" si="52"/>
        <v>080605</v>
      </c>
      <c r="K339" t="s">
        <v>21</v>
      </c>
      <c r="L339" t="s">
        <v>22</v>
      </c>
      <c r="M339" t="str">
        <f aca="true" t="shared" si="53" ref="M339:M348">CONCATENATE("1","")</f>
        <v>1</v>
      </c>
      <c r="O339" t="str">
        <f t="shared" si="51"/>
        <v>1 </v>
      </c>
      <c r="P339">
        <v>41.4</v>
      </c>
      <c r="Q339" t="s">
        <v>23</v>
      </c>
    </row>
    <row r="340" spans="1:17" ht="15">
      <c r="A340" t="s">
        <v>17</v>
      </c>
      <c r="B340" s="1">
        <v>41807</v>
      </c>
      <c r="C340" t="s">
        <v>747</v>
      </c>
      <c r="D340" t="str">
        <f>CONCATENATE("0130009246","")</f>
        <v>0130009246</v>
      </c>
      <c r="E340" t="str">
        <f>CONCATENATE("0060502000715       ","")</f>
        <v>0060502000715       </v>
      </c>
      <c r="F340" t="str">
        <f>CONCATENATE("606598160","")</f>
        <v>606598160</v>
      </c>
      <c r="G340" t="s">
        <v>760</v>
      </c>
      <c r="H340" t="s">
        <v>761</v>
      </c>
      <c r="I340" t="s">
        <v>762</v>
      </c>
      <c r="J340" t="str">
        <f t="shared" si="52"/>
        <v>080605</v>
      </c>
      <c r="K340" t="s">
        <v>21</v>
      </c>
      <c r="L340" t="s">
        <v>22</v>
      </c>
      <c r="M340" t="str">
        <f t="shared" si="53"/>
        <v>1</v>
      </c>
      <c r="O340" t="str">
        <f t="shared" si="51"/>
        <v>1 </v>
      </c>
      <c r="P340">
        <v>66.55</v>
      </c>
      <c r="Q340" t="s">
        <v>23</v>
      </c>
    </row>
    <row r="341" spans="1:17" ht="15">
      <c r="A341" t="s">
        <v>17</v>
      </c>
      <c r="B341" s="1">
        <v>41807</v>
      </c>
      <c r="C341" t="s">
        <v>747</v>
      </c>
      <c r="D341" t="str">
        <f>CONCATENATE("0130011879","")</f>
        <v>0130011879</v>
      </c>
      <c r="E341" t="str">
        <f>CONCATENATE("0060503000077       ","")</f>
        <v>0060503000077       </v>
      </c>
      <c r="F341" t="str">
        <f>CONCATENATE("00010634580","")</f>
        <v>00010634580</v>
      </c>
      <c r="G341" t="s">
        <v>753</v>
      </c>
      <c r="H341" t="s">
        <v>763</v>
      </c>
      <c r="I341" t="s">
        <v>764</v>
      </c>
      <c r="J341" t="str">
        <f t="shared" si="52"/>
        <v>080605</v>
      </c>
      <c r="K341" t="s">
        <v>21</v>
      </c>
      <c r="L341" t="s">
        <v>22</v>
      </c>
      <c r="M341" t="str">
        <f t="shared" si="53"/>
        <v>1</v>
      </c>
      <c r="O341" t="str">
        <f t="shared" si="51"/>
        <v>1 </v>
      </c>
      <c r="P341">
        <v>12.6</v>
      </c>
      <c r="Q341" t="s">
        <v>23</v>
      </c>
    </row>
    <row r="342" spans="1:17" ht="15">
      <c r="A342" t="s">
        <v>17</v>
      </c>
      <c r="B342" s="1">
        <v>41807</v>
      </c>
      <c r="C342" t="s">
        <v>747</v>
      </c>
      <c r="D342" t="str">
        <f>CONCATENATE("0130003887","")</f>
        <v>0130003887</v>
      </c>
      <c r="E342" t="str">
        <f>CONCATENATE("0060503001000       ","")</f>
        <v>0060503001000       </v>
      </c>
      <c r="F342" t="str">
        <f>CONCATENATE("605742010","")</f>
        <v>605742010</v>
      </c>
      <c r="G342" t="s">
        <v>753</v>
      </c>
      <c r="H342" t="s">
        <v>765</v>
      </c>
      <c r="I342" t="s">
        <v>766</v>
      </c>
      <c r="J342" t="str">
        <f t="shared" si="52"/>
        <v>080605</v>
      </c>
      <c r="K342" t="s">
        <v>21</v>
      </c>
      <c r="L342" t="s">
        <v>22</v>
      </c>
      <c r="M342" t="str">
        <f t="shared" si="53"/>
        <v>1</v>
      </c>
      <c r="O342" t="str">
        <f t="shared" si="51"/>
        <v>1 </v>
      </c>
      <c r="P342">
        <v>33.7</v>
      </c>
      <c r="Q342" t="s">
        <v>23</v>
      </c>
    </row>
    <row r="343" spans="1:17" ht="15">
      <c r="A343" t="s">
        <v>17</v>
      </c>
      <c r="B343" s="1">
        <v>41807</v>
      </c>
      <c r="C343" t="s">
        <v>747</v>
      </c>
      <c r="D343" t="str">
        <f>CONCATENATE("0040028167","")</f>
        <v>0040028167</v>
      </c>
      <c r="E343" t="str">
        <f>CONCATENATE("0060503001250       ","")</f>
        <v>0060503001250       </v>
      </c>
      <c r="F343" t="str">
        <f>CONCATENATE("1860471","")</f>
        <v>1860471</v>
      </c>
      <c r="G343" t="s">
        <v>753</v>
      </c>
      <c r="H343" t="s">
        <v>767</v>
      </c>
      <c r="I343" t="s">
        <v>768</v>
      </c>
      <c r="J343" t="str">
        <f t="shared" si="52"/>
        <v>080605</v>
      </c>
      <c r="K343" t="s">
        <v>21</v>
      </c>
      <c r="L343" t="s">
        <v>22</v>
      </c>
      <c r="M343" t="str">
        <f t="shared" si="53"/>
        <v>1</v>
      </c>
      <c r="O343" t="str">
        <f t="shared" si="51"/>
        <v>1 </v>
      </c>
      <c r="P343">
        <v>46.95</v>
      </c>
      <c r="Q343" t="s">
        <v>23</v>
      </c>
    </row>
    <row r="344" spans="1:17" ht="15">
      <c r="A344" t="s">
        <v>17</v>
      </c>
      <c r="B344" s="1">
        <v>41807</v>
      </c>
      <c r="C344" t="s">
        <v>747</v>
      </c>
      <c r="D344" t="str">
        <f>CONCATENATE("0130020895","")</f>
        <v>0130020895</v>
      </c>
      <c r="E344" t="str">
        <f>CONCATENATE("0060504000068       ","")</f>
        <v>0060504000068       </v>
      </c>
      <c r="F344" t="str">
        <f>CONCATENATE("1760066","")</f>
        <v>1760066</v>
      </c>
      <c r="G344" t="s">
        <v>769</v>
      </c>
      <c r="H344" t="s">
        <v>770</v>
      </c>
      <c r="I344" t="s">
        <v>771</v>
      </c>
      <c r="J344" t="str">
        <f t="shared" si="52"/>
        <v>080605</v>
      </c>
      <c r="K344" t="s">
        <v>21</v>
      </c>
      <c r="L344" t="s">
        <v>22</v>
      </c>
      <c r="M344" t="str">
        <f t="shared" si="53"/>
        <v>1</v>
      </c>
      <c r="O344" t="str">
        <f t="shared" si="51"/>
        <v>1 </v>
      </c>
      <c r="P344">
        <v>13.25</v>
      </c>
      <c r="Q344" t="s">
        <v>23</v>
      </c>
    </row>
    <row r="345" spans="1:17" ht="15">
      <c r="A345" t="s">
        <v>17</v>
      </c>
      <c r="B345" s="1">
        <v>41807</v>
      </c>
      <c r="C345" t="s">
        <v>747</v>
      </c>
      <c r="D345" t="str">
        <f>CONCATENATE("0040035685","")</f>
        <v>0040035685</v>
      </c>
      <c r="E345" t="str">
        <f>CONCATENATE("0060525002095       ","")</f>
        <v>0060525002095       </v>
      </c>
      <c r="F345" t="str">
        <f>CONCATENATE("606676826","")</f>
        <v>606676826</v>
      </c>
      <c r="G345" t="s">
        <v>772</v>
      </c>
      <c r="H345" t="s">
        <v>773</v>
      </c>
      <c r="I345" t="s">
        <v>774</v>
      </c>
      <c r="J345" t="str">
        <f t="shared" si="52"/>
        <v>080605</v>
      </c>
      <c r="K345" t="s">
        <v>21</v>
      </c>
      <c r="L345" t="s">
        <v>22</v>
      </c>
      <c r="M345" t="str">
        <f t="shared" si="53"/>
        <v>1</v>
      </c>
      <c r="O345" t="str">
        <f t="shared" si="51"/>
        <v>1 </v>
      </c>
      <c r="P345">
        <v>35.35</v>
      </c>
      <c r="Q345" t="s">
        <v>23</v>
      </c>
    </row>
    <row r="346" spans="1:17" ht="15">
      <c r="A346" t="s">
        <v>17</v>
      </c>
      <c r="B346" s="1">
        <v>41807</v>
      </c>
      <c r="C346" t="s">
        <v>747</v>
      </c>
      <c r="D346" t="str">
        <f>CONCATENATE("0130018427","")</f>
        <v>0130018427</v>
      </c>
      <c r="E346" t="str">
        <f>CONCATENATE("0060535002090       ","")</f>
        <v>0060535002090       </v>
      </c>
      <c r="F346" t="str">
        <f>CONCATENATE("90500399","")</f>
        <v>90500399</v>
      </c>
      <c r="G346" t="s">
        <v>775</v>
      </c>
      <c r="H346" t="s">
        <v>776</v>
      </c>
      <c r="I346" t="s">
        <v>777</v>
      </c>
      <c r="J346" t="str">
        <f t="shared" si="52"/>
        <v>080605</v>
      </c>
      <c r="K346" t="s">
        <v>21</v>
      </c>
      <c r="L346" t="s">
        <v>22</v>
      </c>
      <c r="M346" t="str">
        <f t="shared" si="53"/>
        <v>1</v>
      </c>
      <c r="O346" t="str">
        <f t="shared" si="51"/>
        <v>1 </v>
      </c>
      <c r="P346">
        <v>29.85</v>
      </c>
      <c r="Q346" t="s">
        <v>23</v>
      </c>
    </row>
    <row r="347" spans="1:17" ht="15">
      <c r="A347" t="s">
        <v>17</v>
      </c>
      <c r="B347" s="1">
        <v>41807</v>
      </c>
      <c r="C347" t="s">
        <v>747</v>
      </c>
      <c r="D347" t="str">
        <f>CONCATENATE("0130018601","")</f>
        <v>0130018601</v>
      </c>
      <c r="E347" t="str">
        <f>CONCATENATE("0060555002050       ","")</f>
        <v>0060555002050       </v>
      </c>
      <c r="F347" t="str">
        <f>CONCATENATE("90601493","")</f>
        <v>90601493</v>
      </c>
      <c r="G347" t="s">
        <v>778</v>
      </c>
      <c r="H347" t="s">
        <v>779</v>
      </c>
      <c r="I347" t="s">
        <v>780</v>
      </c>
      <c r="J347" t="str">
        <f t="shared" si="52"/>
        <v>080605</v>
      </c>
      <c r="K347" t="s">
        <v>21</v>
      </c>
      <c r="L347" t="s">
        <v>22</v>
      </c>
      <c r="M347" t="str">
        <f t="shared" si="53"/>
        <v>1</v>
      </c>
      <c r="O347" t="str">
        <f>CONCATENATE("2 ","")</f>
        <v>2 </v>
      </c>
      <c r="P347">
        <v>17.9</v>
      </c>
      <c r="Q347" t="s">
        <v>23</v>
      </c>
    </row>
    <row r="348" spans="1:17" ht="15">
      <c r="A348" t="s">
        <v>17</v>
      </c>
      <c r="B348" s="1">
        <v>41807</v>
      </c>
      <c r="C348" t="s">
        <v>747</v>
      </c>
      <c r="D348" t="str">
        <f>CONCATENATE("0130018437","")</f>
        <v>0130018437</v>
      </c>
      <c r="E348" t="str">
        <f>CONCATENATE("0060560001070       ","")</f>
        <v>0060560001070       </v>
      </c>
      <c r="F348" t="str">
        <f>CONCATENATE("90601189","")</f>
        <v>90601189</v>
      </c>
      <c r="G348" t="s">
        <v>781</v>
      </c>
      <c r="H348" t="s">
        <v>782</v>
      </c>
      <c r="I348" t="s">
        <v>783</v>
      </c>
      <c r="J348" t="str">
        <f t="shared" si="52"/>
        <v>080605</v>
      </c>
      <c r="K348" t="s">
        <v>21</v>
      </c>
      <c r="L348" t="s">
        <v>22</v>
      </c>
      <c r="M348" t="str">
        <f t="shared" si="53"/>
        <v>1</v>
      </c>
      <c r="O348" t="str">
        <f>CONCATENATE("6 ","")</f>
        <v>6 </v>
      </c>
      <c r="P348">
        <v>89</v>
      </c>
      <c r="Q348" t="s">
        <v>23</v>
      </c>
    </row>
    <row r="349" spans="1:17" ht="15">
      <c r="A349" t="s">
        <v>17</v>
      </c>
      <c r="B349" s="1">
        <v>41807</v>
      </c>
      <c r="C349" t="s">
        <v>696</v>
      </c>
      <c r="D349" t="str">
        <f>CONCATENATE("0130009845","")</f>
        <v>0130009845</v>
      </c>
      <c r="E349" t="str">
        <f>CONCATENATE("0060601000111       ","")</f>
        <v>0060601000111       </v>
      </c>
      <c r="F349" t="str">
        <f>CONCATENATE("113110","")</f>
        <v>113110</v>
      </c>
      <c r="G349" t="s">
        <v>784</v>
      </c>
      <c r="H349" t="s">
        <v>785</v>
      </c>
      <c r="I349" t="s">
        <v>786</v>
      </c>
      <c r="J349" t="str">
        <f aca="true" t="shared" si="54" ref="J349:J359">CONCATENATE("080606","")</f>
        <v>080606</v>
      </c>
      <c r="K349" t="s">
        <v>21</v>
      </c>
      <c r="L349" t="s">
        <v>22</v>
      </c>
      <c r="M349" t="str">
        <f>CONCATENATE("3","")</f>
        <v>3</v>
      </c>
      <c r="O349" t="str">
        <f aca="true" t="shared" si="55" ref="O349:O357">CONCATENATE("1 ","")</f>
        <v>1 </v>
      </c>
      <c r="P349">
        <v>12.45</v>
      </c>
      <c r="Q349" t="s">
        <v>23</v>
      </c>
    </row>
    <row r="350" spans="1:17" ht="15">
      <c r="A350" t="s">
        <v>17</v>
      </c>
      <c r="B350" s="1">
        <v>41807</v>
      </c>
      <c r="C350" t="s">
        <v>696</v>
      </c>
      <c r="D350" t="str">
        <f>CONCATENATE("0130014761","")</f>
        <v>0130014761</v>
      </c>
      <c r="E350" t="str">
        <f>CONCATENATE("0060601000573       ","")</f>
        <v>0060601000573       </v>
      </c>
      <c r="F350" t="str">
        <f>CONCATENATE("605113154","")</f>
        <v>605113154</v>
      </c>
      <c r="G350" t="s">
        <v>787</v>
      </c>
      <c r="H350" t="s">
        <v>788</v>
      </c>
      <c r="I350" t="s">
        <v>789</v>
      </c>
      <c r="J350" t="str">
        <f t="shared" si="54"/>
        <v>080606</v>
      </c>
      <c r="K350" t="s">
        <v>21</v>
      </c>
      <c r="L350" t="s">
        <v>22</v>
      </c>
      <c r="M350" t="str">
        <f>CONCATENATE("1","")</f>
        <v>1</v>
      </c>
      <c r="O350" t="str">
        <f t="shared" si="55"/>
        <v>1 </v>
      </c>
      <c r="P350">
        <v>34.4</v>
      </c>
      <c r="Q350" t="s">
        <v>23</v>
      </c>
    </row>
    <row r="351" spans="1:17" ht="15">
      <c r="A351" t="s">
        <v>17</v>
      </c>
      <c r="B351" s="1">
        <v>41807</v>
      </c>
      <c r="C351" t="s">
        <v>696</v>
      </c>
      <c r="D351" t="str">
        <f>CONCATENATE("0130015619","")</f>
        <v>0130015619</v>
      </c>
      <c r="E351" t="str">
        <f>CONCATENATE("0060602001287       ","")</f>
        <v>0060602001287       </v>
      </c>
      <c r="F351" t="str">
        <f>CONCATENATE("605280452","")</f>
        <v>605280452</v>
      </c>
      <c r="G351" t="s">
        <v>790</v>
      </c>
      <c r="H351" t="s">
        <v>791</v>
      </c>
      <c r="I351" t="s">
        <v>792</v>
      </c>
      <c r="J351" t="str">
        <f t="shared" si="54"/>
        <v>080606</v>
      </c>
      <c r="K351" t="s">
        <v>21</v>
      </c>
      <c r="L351" t="s">
        <v>22</v>
      </c>
      <c r="M351" t="str">
        <f>CONCATENATE("1","")</f>
        <v>1</v>
      </c>
      <c r="O351" t="str">
        <f t="shared" si="55"/>
        <v>1 </v>
      </c>
      <c r="P351">
        <v>40.2</v>
      </c>
      <c r="Q351" t="s">
        <v>23</v>
      </c>
    </row>
    <row r="352" spans="1:17" ht="15">
      <c r="A352" t="s">
        <v>17</v>
      </c>
      <c r="B352" s="1">
        <v>41807</v>
      </c>
      <c r="C352" t="s">
        <v>696</v>
      </c>
      <c r="D352" t="str">
        <f>CONCATENATE("0130010415","")</f>
        <v>0130010415</v>
      </c>
      <c r="E352" t="str">
        <f>CONCATENATE("0060602002735       ","")</f>
        <v>0060602002735       </v>
      </c>
      <c r="F352" t="str">
        <f>CONCATENATE("605741107","")</f>
        <v>605741107</v>
      </c>
      <c r="G352" t="s">
        <v>790</v>
      </c>
      <c r="H352" t="s">
        <v>793</v>
      </c>
      <c r="I352" t="s">
        <v>794</v>
      </c>
      <c r="J352" t="str">
        <f t="shared" si="54"/>
        <v>080606</v>
      </c>
      <c r="K352" t="s">
        <v>21</v>
      </c>
      <c r="L352" t="s">
        <v>22</v>
      </c>
      <c r="M352" t="str">
        <f>CONCATENATE("1","")</f>
        <v>1</v>
      </c>
      <c r="O352" t="str">
        <f t="shared" si="55"/>
        <v>1 </v>
      </c>
      <c r="P352">
        <v>92.7</v>
      </c>
      <c r="Q352" t="s">
        <v>23</v>
      </c>
    </row>
    <row r="353" spans="1:17" ht="15">
      <c r="A353" t="s">
        <v>17</v>
      </c>
      <c r="B353" s="1">
        <v>41807</v>
      </c>
      <c r="C353" t="s">
        <v>696</v>
      </c>
      <c r="D353" t="str">
        <f>CONCATENATE("0130011020","")</f>
        <v>0130011020</v>
      </c>
      <c r="E353" t="str">
        <f>CONCATENATE("0060603000500       ","")</f>
        <v>0060603000500       </v>
      </c>
      <c r="F353" t="str">
        <f>CONCATENATE("01187038","")</f>
        <v>01187038</v>
      </c>
      <c r="G353" t="s">
        <v>784</v>
      </c>
      <c r="H353" t="s">
        <v>795</v>
      </c>
      <c r="I353" t="s">
        <v>796</v>
      </c>
      <c r="J353" t="str">
        <f t="shared" si="54"/>
        <v>080606</v>
      </c>
      <c r="K353" t="s">
        <v>21</v>
      </c>
      <c r="L353" t="s">
        <v>22</v>
      </c>
      <c r="M353" t="str">
        <f>CONCATENATE("1","")</f>
        <v>1</v>
      </c>
      <c r="O353" t="str">
        <f t="shared" si="55"/>
        <v>1 </v>
      </c>
      <c r="P353">
        <v>138.45</v>
      </c>
      <c r="Q353" t="s">
        <v>23</v>
      </c>
    </row>
    <row r="354" spans="1:17" ht="15">
      <c r="A354" t="s">
        <v>17</v>
      </c>
      <c r="B354" s="1">
        <v>41807</v>
      </c>
      <c r="C354" t="s">
        <v>696</v>
      </c>
      <c r="D354" t="str">
        <f>CONCATENATE("0130012517","")</f>
        <v>0130012517</v>
      </c>
      <c r="E354" t="str">
        <f>CONCATENATE("0060603000920       ","")</f>
        <v>0060603000920       </v>
      </c>
      <c r="F354" t="str">
        <f>CONCATENATE("00031002669","")</f>
        <v>00031002669</v>
      </c>
      <c r="G354" t="s">
        <v>784</v>
      </c>
      <c r="H354" t="s">
        <v>797</v>
      </c>
      <c r="I354" t="s">
        <v>798</v>
      </c>
      <c r="J354" t="str">
        <f t="shared" si="54"/>
        <v>080606</v>
      </c>
      <c r="K354" t="s">
        <v>21</v>
      </c>
      <c r="L354" t="s">
        <v>22</v>
      </c>
      <c r="M354" t="str">
        <f>CONCATENATE("3","")</f>
        <v>3</v>
      </c>
      <c r="O354" t="str">
        <f t="shared" si="55"/>
        <v>1 </v>
      </c>
      <c r="P354">
        <v>172.55</v>
      </c>
      <c r="Q354" t="s">
        <v>68</v>
      </c>
    </row>
    <row r="355" spans="1:17" ht="15">
      <c r="A355" t="s">
        <v>17</v>
      </c>
      <c r="B355" s="1">
        <v>41807</v>
      </c>
      <c r="C355" t="s">
        <v>696</v>
      </c>
      <c r="D355" t="str">
        <f>CONCATENATE("0130016120","")</f>
        <v>0130016120</v>
      </c>
      <c r="E355" t="str">
        <f>CONCATENATE("0060604000025       ","")</f>
        <v>0060604000025       </v>
      </c>
      <c r="F355" t="str">
        <f>CONCATENATE("605287951","")</f>
        <v>605287951</v>
      </c>
      <c r="G355" t="s">
        <v>799</v>
      </c>
      <c r="H355" t="s">
        <v>800</v>
      </c>
      <c r="I355" t="s">
        <v>801</v>
      </c>
      <c r="J355" t="str">
        <f t="shared" si="54"/>
        <v>080606</v>
      </c>
      <c r="K355" t="s">
        <v>21</v>
      </c>
      <c r="L355" t="s">
        <v>22</v>
      </c>
      <c r="M355" t="str">
        <f aca="true" t="shared" si="56" ref="M355:M366">CONCATENATE("1","")</f>
        <v>1</v>
      </c>
      <c r="O355" t="str">
        <f t="shared" si="55"/>
        <v>1 </v>
      </c>
      <c r="P355">
        <v>15.65</v>
      </c>
      <c r="Q355" t="s">
        <v>23</v>
      </c>
    </row>
    <row r="356" spans="1:17" ht="15">
      <c r="A356" t="s">
        <v>17</v>
      </c>
      <c r="B356" s="1">
        <v>41807</v>
      </c>
      <c r="C356" t="s">
        <v>696</v>
      </c>
      <c r="D356" t="str">
        <f>CONCATENATE("0130016319","")</f>
        <v>0130016319</v>
      </c>
      <c r="E356" t="str">
        <f>CONCATENATE("0060604000490       ","")</f>
        <v>0060604000490       </v>
      </c>
      <c r="F356" t="str">
        <f>CONCATENATE("605394556","")</f>
        <v>605394556</v>
      </c>
      <c r="G356" t="s">
        <v>799</v>
      </c>
      <c r="H356" t="s">
        <v>802</v>
      </c>
      <c r="I356" t="s">
        <v>803</v>
      </c>
      <c r="J356" t="str">
        <f t="shared" si="54"/>
        <v>080606</v>
      </c>
      <c r="K356" t="s">
        <v>21</v>
      </c>
      <c r="L356" t="s">
        <v>22</v>
      </c>
      <c r="M356" t="str">
        <f t="shared" si="56"/>
        <v>1</v>
      </c>
      <c r="O356" t="str">
        <f t="shared" si="55"/>
        <v>1 </v>
      </c>
      <c r="P356">
        <v>15.2</v>
      </c>
      <c r="Q356" t="s">
        <v>23</v>
      </c>
    </row>
    <row r="357" spans="1:17" ht="15">
      <c r="A357" t="s">
        <v>17</v>
      </c>
      <c r="B357" s="1">
        <v>41807</v>
      </c>
      <c r="C357" t="s">
        <v>696</v>
      </c>
      <c r="D357" t="str">
        <f>CONCATENATE("0130014578","")</f>
        <v>0130014578</v>
      </c>
      <c r="E357" t="str">
        <f>CONCATENATE("0060604000750       ","")</f>
        <v>0060604000750       </v>
      </c>
      <c r="F357" t="str">
        <f>CONCATENATE("1240591","")</f>
        <v>1240591</v>
      </c>
      <c r="G357" t="s">
        <v>799</v>
      </c>
      <c r="H357" t="s">
        <v>804</v>
      </c>
      <c r="I357" t="s">
        <v>805</v>
      </c>
      <c r="J357" t="str">
        <f t="shared" si="54"/>
        <v>080606</v>
      </c>
      <c r="K357" t="s">
        <v>21</v>
      </c>
      <c r="L357" t="s">
        <v>22</v>
      </c>
      <c r="M357" t="str">
        <f t="shared" si="56"/>
        <v>1</v>
      </c>
      <c r="O357" t="str">
        <f t="shared" si="55"/>
        <v>1 </v>
      </c>
      <c r="P357">
        <v>16</v>
      </c>
      <c r="Q357" t="s">
        <v>23</v>
      </c>
    </row>
    <row r="358" spans="1:17" ht="15">
      <c r="A358" t="s">
        <v>17</v>
      </c>
      <c r="B358" s="1">
        <v>41807</v>
      </c>
      <c r="C358" t="s">
        <v>696</v>
      </c>
      <c r="D358" t="str">
        <f>CONCATENATE("0130013849","")</f>
        <v>0130013849</v>
      </c>
      <c r="E358" t="str">
        <f>CONCATENATE("0060623000145       ","")</f>
        <v>0060623000145       </v>
      </c>
      <c r="F358" t="str">
        <f>CONCATENATE("606676513","")</f>
        <v>606676513</v>
      </c>
      <c r="G358" t="s">
        <v>806</v>
      </c>
      <c r="H358" t="s">
        <v>807</v>
      </c>
      <c r="I358" t="s">
        <v>808</v>
      </c>
      <c r="J358" t="str">
        <f t="shared" si="54"/>
        <v>080606</v>
      </c>
      <c r="K358" t="s">
        <v>21</v>
      </c>
      <c r="L358" t="s">
        <v>22</v>
      </c>
      <c r="M358" t="str">
        <f t="shared" si="56"/>
        <v>1</v>
      </c>
      <c r="O358" t="str">
        <f>CONCATENATE("4 ","")</f>
        <v>4 </v>
      </c>
      <c r="P358">
        <v>56.9</v>
      </c>
      <c r="Q358" t="s">
        <v>23</v>
      </c>
    </row>
    <row r="359" spans="1:17" ht="15">
      <c r="A359" t="s">
        <v>17</v>
      </c>
      <c r="B359" s="1">
        <v>41807</v>
      </c>
      <c r="C359" t="s">
        <v>696</v>
      </c>
      <c r="D359" t="str">
        <f>CONCATENATE("0130021545","")</f>
        <v>0130021545</v>
      </c>
      <c r="E359" t="str">
        <f>CONCATENATE("0060623000355       ","")</f>
        <v>0060623000355       </v>
      </c>
      <c r="F359" t="str">
        <f>CONCATENATE("1931091","")</f>
        <v>1931091</v>
      </c>
      <c r="G359" t="s">
        <v>806</v>
      </c>
      <c r="H359" t="s">
        <v>809</v>
      </c>
      <c r="I359" t="s">
        <v>810</v>
      </c>
      <c r="J359" t="str">
        <f t="shared" si="54"/>
        <v>080606</v>
      </c>
      <c r="K359" t="s">
        <v>21</v>
      </c>
      <c r="L359" t="s">
        <v>22</v>
      </c>
      <c r="M359" t="str">
        <f t="shared" si="56"/>
        <v>1</v>
      </c>
      <c r="O359" t="str">
        <f>CONCATENATE("2 ","")</f>
        <v>2 </v>
      </c>
      <c r="P359">
        <v>23.25</v>
      </c>
      <c r="Q359" t="s">
        <v>23</v>
      </c>
    </row>
    <row r="360" spans="1:17" ht="15">
      <c r="A360" t="s">
        <v>17</v>
      </c>
      <c r="B360" s="1">
        <v>41807</v>
      </c>
      <c r="C360" t="s">
        <v>811</v>
      </c>
      <c r="D360" t="str">
        <f>CONCATENATE("0130004455","")</f>
        <v>0130004455</v>
      </c>
      <c r="E360" t="str">
        <f>CONCATENATE("0060701000450       ","")</f>
        <v>0060701000450       </v>
      </c>
      <c r="F360" t="str">
        <f>CONCATENATE("605112990","")</f>
        <v>605112990</v>
      </c>
      <c r="G360" t="s">
        <v>812</v>
      </c>
      <c r="H360" t="s">
        <v>813</v>
      </c>
      <c r="I360" t="str">
        <f>CONCATENATE("4-DE-JULIO---115","")</f>
        <v>4-DE-JULIO---115</v>
      </c>
      <c r="J360" t="str">
        <f aca="true" t="shared" si="57" ref="J360:J370">CONCATENATE("080607","")</f>
        <v>080607</v>
      </c>
      <c r="K360" t="s">
        <v>21</v>
      </c>
      <c r="L360" t="s">
        <v>22</v>
      </c>
      <c r="M360" t="str">
        <f t="shared" si="56"/>
        <v>1</v>
      </c>
      <c r="O360" t="str">
        <f aca="true" t="shared" si="58" ref="O360:O388">CONCATENATE("1 ","")</f>
        <v>1 </v>
      </c>
      <c r="P360">
        <v>23.55</v>
      </c>
      <c r="Q360" t="s">
        <v>23</v>
      </c>
    </row>
    <row r="361" spans="1:17" ht="15">
      <c r="A361" t="s">
        <v>17</v>
      </c>
      <c r="B361" s="1">
        <v>41807</v>
      </c>
      <c r="C361" t="s">
        <v>811</v>
      </c>
      <c r="D361" t="str">
        <f>CONCATENATE("0130004458","")</f>
        <v>0130004458</v>
      </c>
      <c r="E361" t="str">
        <f>CONCATENATE("0060701000465       ","")</f>
        <v>0060701000465       </v>
      </c>
      <c r="F361" t="str">
        <f>CONCATENATE("0605934072","")</f>
        <v>0605934072</v>
      </c>
      <c r="G361" t="s">
        <v>812</v>
      </c>
      <c r="H361" t="s">
        <v>814</v>
      </c>
      <c r="I361" t="str">
        <f>CONCATENATE("4-DE-JULIO---S-N","")</f>
        <v>4-DE-JULIO---S-N</v>
      </c>
      <c r="J361" t="str">
        <f t="shared" si="57"/>
        <v>080607</v>
      </c>
      <c r="K361" t="s">
        <v>21</v>
      </c>
      <c r="L361" t="s">
        <v>22</v>
      </c>
      <c r="M361" t="str">
        <f t="shared" si="56"/>
        <v>1</v>
      </c>
      <c r="O361" t="str">
        <f t="shared" si="58"/>
        <v>1 </v>
      </c>
      <c r="P361">
        <v>31.7</v>
      </c>
      <c r="Q361" t="s">
        <v>23</v>
      </c>
    </row>
    <row r="362" spans="1:17" ht="15">
      <c r="A362" t="s">
        <v>17</v>
      </c>
      <c r="B362" s="1">
        <v>41807</v>
      </c>
      <c r="C362" t="s">
        <v>811</v>
      </c>
      <c r="D362" t="str">
        <f>CONCATENATE("0130004508","")</f>
        <v>0130004508</v>
      </c>
      <c r="E362" t="str">
        <f>CONCATENATE("0060701001110       ","")</f>
        <v>0060701001110       </v>
      </c>
      <c r="F362" t="str">
        <f>CONCATENATE("605565982","")</f>
        <v>605565982</v>
      </c>
      <c r="G362" t="s">
        <v>812</v>
      </c>
      <c r="H362" t="s">
        <v>815</v>
      </c>
      <c r="I362" t="s">
        <v>816</v>
      </c>
      <c r="J362" t="str">
        <f t="shared" si="57"/>
        <v>080607</v>
      </c>
      <c r="K362" t="s">
        <v>21</v>
      </c>
      <c r="L362" t="s">
        <v>22</v>
      </c>
      <c r="M362" t="str">
        <f t="shared" si="56"/>
        <v>1</v>
      </c>
      <c r="O362" t="str">
        <f t="shared" si="58"/>
        <v>1 </v>
      </c>
      <c r="P362">
        <v>66.6</v>
      </c>
      <c r="Q362" t="s">
        <v>23</v>
      </c>
    </row>
    <row r="363" spans="1:17" ht="15">
      <c r="A363" t="s">
        <v>17</v>
      </c>
      <c r="B363" s="1">
        <v>41807</v>
      </c>
      <c r="C363" t="s">
        <v>811</v>
      </c>
      <c r="D363" t="str">
        <f>CONCATENATE("0130021226","")</f>
        <v>0130021226</v>
      </c>
      <c r="E363" t="str">
        <f>CONCATENATE("0060701001485       ","")</f>
        <v>0060701001485       </v>
      </c>
      <c r="F363" t="str">
        <f>CONCATENATE("1937207","")</f>
        <v>1937207</v>
      </c>
      <c r="G363" t="s">
        <v>812</v>
      </c>
      <c r="H363" t="s">
        <v>817</v>
      </c>
      <c r="I363" t="s">
        <v>227</v>
      </c>
      <c r="J363" t="str">
        <f t="shared" si="57"/>
        <v>080607</v>
      </c>
      <c r="K363" t="s">
        <v>21</v>
      </c>
      <c r="L363" t="s">
        <v>22</v>
      </c>
      <c r="M363" t="str">
        <f t="shared" si="56"/>
        <v>1</v>
      </c>
      <c r="O363" t="str">
        <f t="shared" si="58"/>
        <v>1 </v>
      </c>
      <c r="P363">
        <v>22.45</v>
      </c>
      <c r="Q363" t="s">
        <v>23</v>
      </c>
    </row>
    <row r="364" spans="1:17" ht="15">
      <c r="A364" t="s">
        <v>17</v>
      </c>
      <c r="B364" s="1">
        <v>41807</v>
      </c>
      <c r="C364" t="s">
        <v>811</v>
      </c>
      <c r="D364" t="str">
        <f>CONCATENATE("0130017451","")</f>
        <v>0130017451</v>
      </c>
      <c r="E364" t="str">
        <f>CONCATENATE("0060702000785       ","")</f>
        <v>0060702000785       </v>
      </c>
      <c r="F364" t="str">
        <f>CONCATENATE("0605763976","")</f>
        <v>0605763976</v>
      </c>
      <c r="G364" t="s">
        <v>818</v>
      </c>
      <c r="H364" t="s">
        <v>819</v>
      </c>
      <c r="I364" t="s">
        <v>820</v>
      </c>
      <c r="J364" t="str">
        <f t="shared" si="57"/>
        <v>080607</v>
      </c>
      <c r="K364" t="s">
        <v>21</v>
      </c>
      <c r="L364" t="s">
        <v>22</v>
      </c>
      <c r="M364" t="str">
        <f t="shared" si="56"/>
        <v>1</v>
      </c>
      <c r="O364" t="str">
        <f t="shared" si="58"/>
        <v>1 </v>
      </c>
      <c r="P364">
        <v>14.6</v>
      </c>
      <c r="Q364" t="s">
        <v>23</v>
      </c>
    </row>
    <row r="365" spans="1:17" ht="15">
      <c r="A365" t="s">
        <v>17</v>
      </c>
      <c r="B365" s="1">
        <v>41807</v>
      </c>
      <c r="C365" t="s">
        <v>811</v>
      </c>
      <c r="D365" t="str">
        <f>CONCATENATE("0130004651","")</f>
        <v>0130004651</v>
      </c>
      <c r="E365" t="str">
        <f>CONCATENATE("0060702001200       ","")</f>
        <v>0060702001200       </v>
      </c>
      <c r="F365" t="str">
        <f>CONCATENATE("605290758","")</f>
        <v>605290758</v>
      </c>
      <c r="G365" t="s">
        <v>818</v>
      </c>
      <c r="H365" t="s">
        <v>821</v>
      </c>
      <c r="I365" t="s">
        <v>822</v>
      </c>
      <c r="J365" t="str">
        <f t="shared" si="57"/>
        <v>080607</v>
      </c>
      <c r="K365" t="s">
        <v>21</v>
      </c>
      <c r="L365" t="s">
        <v>22</v>
      </c>
      <c r="M365" t="str">
        <f t="shared" si="56"/>
        <v>1</v>
      </c>
      <c r="O365" t="str">
        <f t="shared" si="58"/>
        <v>1 </v>
      </c>
      <c r="P365">
        <v>82.95</v>
      </c>
      <c r="Q365" t="s">
        <v>23</v>
      </c>
    </row>
    <row r="366" spans="1:17" ht="15">
      <c r="A366" t="s">
        <v>17</v>
      </c>
      <c r="B366" s="1">
        <v>41807</v>
      </c>
      <c r="C366" t="s">
        <v>811</v>
      </c>
      <c r="D366" t="str">
        <f>CONCATENATE("0130004729","")</f>
        <v>0130004729</v>
      </c>
      <c r="E366" t="str">
        <f>CONCATENATE("0060720000950       ","")</f>
        <v>0060720000950       </v>
      </c>
      <c r="F366" t="str">
        <f>CONCATENATE("7441624","")</f>
        <v>7441624</v>
      </c>
      <c r="G366" t="s">
        <v>823</v>
      </c>
      <c r="H366" t="s">
        <v>824</v>
      </c>
      <c r="I366" t="s">
        <v>825</v>
      </c>
      <c r="J366" t="str">
        <f t="shared" si="57"/>
        <v>080607</v>
      </c>
      <c r="K366" t="s">
        <v>21</v>
      </c>
      <c r="L366" t="s">
        <v>22</v>
      </c>
      <c r="M366" t="str">
        <f t="shared" si="56"/>
        <v>1</v>
      </c>
      <c r="O366" t="str">
        <f t="shared" si="58"/>
        <v>1 </v>
      </c>
      <c r="P366">
        <v>269.6</v>
      </c>
      <c r="Q366" t="s">
        <v>23</v>
      </c>
    </row>
    <row r="367" spans="1:17" ht="15">
      <c r="A367" t="s">
        <v>17</v>
      </c>
      <c r="B367" s="1">
        <v>41807</v>
      </c>
      <c r="C367" t="s">
        <v>811</v>
      </c>
      <c r="D367" t="str">
        <f>CONCATENATE("0130011044","")</f>
        <v>0130011044</v>
      </c>
      <c r="E367" t="str">
        <f>CONCATENATE("0060725000055       ","")</f>
        <v>0060725000055       </v>
      </c>
      <c r="F367" t="str">
        <f>CONCATENATE("110364","")</f>
        <v>110364</v>
      </c>
      <c r="G367" t="s">
        <v>826</v>
      </c>
      <c r="H367" t="s">
        <v>827</v>
      </c>
      <c r="I367" t="s">
        <v>828</v>
      </c>
      <c r="J367" t="str">
        <f t="shared" si="57"/>
        <v>080607</v>
      </c>
      <c r="K367" t="s">
        <v>21</v>
      </c>
      <c r="L367" t="s">
        <v>22</v>
      </c>
      <c r="M367" t="str">
        <f>CONCATENATE("3","")</f>
        <v>3</v>
      </c>
      <c r="O367" t="str">
        <f t="shared" si="58"/>
        <v>1 </v>
      </c>
      <c r="P367">
        <v>26.4</v>
      </c>
      <c r="Q367" t="s">
        <v>68</v>
      </c>
    </row>
    <row r="368" spans="1:17" ht="15">
      <c r="A368" t="s">
        <v>17</v>
      </c>
      <c r="B368" s="1">
        <v>41807</v>
      </c>
      <c r="C368" t="s">
        <v>811</v>
      </c>
      <c r="D368" t="str">
        <f>CONCATENATE("0130011193","")</f>
        <v>0130011193</v>
      </c>
      <c r="E368" t="str">
        <f>CONCATENATE("0060726000475       ","")</f>
        <v>0060726000475       </v>
      </c>
      <c r="F368" t="str">
        <f>CONCATENATE("112456","")</f>
        <v>112456</v>
      </c>
      <c r="G368" t="s">
        <v>826</v>
      </c>
      <c r="H368" t="s">
        <v>829</v>
      </c>
      <c r="I368" t="s">
        <v>830</v>
      </c>
      <c r="J368" t="str">
        <f t="shared" si="57"/>
        <v>080607</v>
      </c>
      <c r="K368" t="s">
        <v>21</v>
      </c>
      <c r="L368" t="s">
        <v>22</v>
      </c>
      <c r="M368" t="str">
        <f>CONCATENATE("3","")</f>
        <v>3</v>
      </c>
      <c r="O368" t="str">
        <f t="shared" si="58"/>
        <v>1 </v>
      </c>
      <c r="P368">
        <v>92.65</v>
      </c>
      <c r="Q368" t="s">
        <v>68</v>
      </c>
    </row>
    <row r="369" spans="1:17" ht="15">
      <c r="A369" t="s">
        <v>17</v>
      </c>
      <c r="B369" s="1">
        <v>41807</v>
      </c>
      <c r="C369" t="s">
        <v>811</v>
      </c>
      <c r="D369" t="str">
        <f>CONCATENATE("0130004803","")</f>
        <v>0130004803</v>
      </c>
      <c r="E369" t="str">
        <f>CONCATENATE("0060726000550       ","")</f>
        <v>0060726000550       </v>
      </c>
      <c r="F369" t="str">
        <f>CONCATENATE("549041","")</f>
        <v>549041</v>
      </c>
      <c r="G369" t="s">
        <v>826</v>
      </c>
      <c r="H369" t="s">
        <v>831</v>
      </c>
      <c r="I369" t="s">
        <v>832</v>
      </c>
      <c r="J369" t="str">
        <f t="shared" si="57"/>
        <v>080607</v>
      </c>
      <c r="K369" t="s">
        <v>21</v>
      </c>
      <c r="L369" t="s">
        <v>22</v>
      </c>
      <c r="M369" t="str">
        <f aca="true" t="shared" si="59" ref="M369:M397">CONCATENATE("1","")</f>
        <v>1</v>
      </c>
      <c r="O369" t="str">
        <f t="shared" si="58"/>
        <v>1 </v>
      </c>
      <c r="P369">
        <v>29.7</v>
      </c>
      <c r="Q369" t="s">
        <v>23</v>
      </c>
    </row>
    <row r="370" spans="1:17" ht="15">
      <c r="A370" t="s">
        <v>17</v>
      </c>
      <c r="B370" s="1">
        <v>41807</v>
      </c>
      <c r="C370" t="s">
        <v>811</v>
      </c>
      <c r="D370" t="str">
        <f>CONCATENATE("0130009056","")</f>
        <v>0130009056</v>
      </c>
      <c r="E370" t="str">
        <f>CONCATENATE("0060730000060       ","")</f>
        <v>0060730000060       </v>
      </c>
      <c r="F370" t="str">
        <f>CONCATENATE("605749377","")</f>
        <v>605749377</v>
      </c>
      <c r="G370" t="s">
        <v>833</v>
      </c>
      <c r="H370" t="s">
        <v>834</v>
      </c>
      <c r="I370" t="s">
        <v>835</v>
      </c>
      <c r="J370" t="str">
        <f t="shared" si="57"/>
        <v>080607</v>
      </c>
      <c r="K370" t="s">
        <v>21</v>
      </c>
      <c r="L370" t="s">
        <v>22</v>
      </c>
      <c r="M370" t="str">
        <f t="shared" si="59"/>
        <v>1</v>
      </c>
      <c r="O370" t="str">
        <f t="shared" si="58"/>
        <v>1 </v>
      </c>
      <c r="P370">
        <v>10.45</v>
      </c>
      <c r="Q370" t="s">
        <v>23</v>
      </c>
    </row>
    <row r="371" spans="1:17" ht="15">
      <c r="A371" t="s">
        <v>17</v>
      </c>
      <c r="B371" s="1">
        <v>41807</v>
      </c>
      <c r="C371" t="s">
        <v>836</v>
      </c>
      <c r="D371" t="str">
        <f>CONCATENATE("0130007458","")</f>
        <v>0130007458</v>
      </c>
      <c r="E371" t="str">
        <f>CONCATENATE("0060801000100       ","")</f>
        <v>0060801000100       </v>
      </c>
      <c r="F371" t="str">
        <f>CONCATENATE("605114664","")</f>
        <v>605114664</v>
      </c>
      <c r="G371" t="s">
        <v>837</v>
      </c>
      <c r="H371" t="s">
        <v>838</v>
      </c>
      <c r="I371" t="s">
        <v>839</v>
      </c>
      <c r="J371" t="str">
        <f aca="true" t="shared" si="60" ref="J371:J400">CONCATENATE("080608","")</f>
        <v>080608</v>
      </c>
      <c r="K371" t="s">
        <v>21</v>
      </c>
      <c r="L371" t="s">
        <v>22</v>
      </c>
      <c r="M371" t="str">
        <f t="shared" si="59"/>
        <v>1</v>
      </c>
      <c r="O371" t="str">
        <f t="shared" si="58"/>
        <v>1 </v>
      </c>
      <c r="P371">
        <v>13.4</v>
      </c>
      <c r="Q371" t="s">
        <v>23</v>
      </c>
    </row>
    <row r="372" spans="1:17" ht="15">
      <c r="A372" t="s">
        <v>17</v>
      </c>
      <c r="B372" s="1">
        <v>41807</v>
      </c>
      <c r="C372" t="s">
        <v>836</v>
      </c>
      <c r="D372" t="str">
        <f>CONCATENATE("0130004961","")</f>
        <v>0130004961</v>
      </c>
      <c r="E372" t="str">
        <f>CONCATENATE("0060801000465       ","")</f>
        <v>0060801000465       </v>
      </c>
      <c r="F372" t="str">
        <f>CONCATENATE("605347611","")</f>
        <v>605347611</v>
      </c>
      <c r="G372" t="s">
        <v>840</v>
      </c>
      <c r="H372" t="s">
        <v>841</v>
      </c>
      <c r="I372" t="s">
        <v>842</v>
      </c>
      <c r="J372" t="str">
        <f t="shared" si="60"/>
        <v>080608</v>
      </c>
      <c r="K372" t="s">
        <v>21</v>
      </c>
      <c r="L372" t="s">
        <v>22</v>
      </c>
      <c r="M372" t="str">
        <f t="shared" si="59"/>
        <v>1</v>
      </c>
      <c r="O372" t="str">
        <f t="shared" si="58"/>
        <v>1 </v>
      </c>
      <c r="P372">
        <v>12.6</v>
      </c>
      <c r="Q372" t="s">
        <v>23</v>
      </c>
    </row>
    <row r="373" spans="1:17" ht="15">
      <c r="A373" t="s">
        <v>17</v>
      </c>
      <c r="B373" s="1">
        <v>41807</v>
      </c>
      <c r="C373" t="s">
        <v>836</v>
      </c>
      <c r="D373" t="str">
        <f>CONCATENATE("0130012108","")</f>
        <v>0130012108</v>
      </c>
      <c r="E373" t="str">
        <f>CONCATENATE("0060801000605       ","")</f>
        <v>0060801000605       </v>
      </c>
      <c r="F373" t="str">
        <f>CONCATENATE("00000290559","")</f>
        <v>00000290559</v>
      </c>
      <c r="G373" t="s">
        <v>840</v>
      </c>
      <c r="H373" t="s">
        <v>843</v>
      </c>
      <c r="I373" t="str">
        <f>CONCATENATE("28-DE-JULIO-446","")</f>
        <v>28-DE-JULIO-446</v>
      </c>
      <c r="J373" t="str">
        <f t="shared" si="60"/>
        <v>080608</v>
      </c>
      <c r="K373" t="s">
        <v>21</v>
      </c>
      <c r="L373" t="s">
        <v>22</v>
      </c>
      <c r="M373" t="str">
        <f t="shared" si="59"/>
        <v>1</v>
      </c>
      <c r="O373" t="str">
        <f t="shared" si="58"/>
        <v>1 </v>
      </c>
      <c r="P373">
        <v>12.4</v>
      </c>
      <c r="Q373" t="s">
        <v>23</v>
      </c>
    </row>
    <row r="374" spans="1:17" ht="15">
      <c r="A374" t="s">
        <v>17</v>
      </c>
      <c r="B374" s="1">
        <v>41807</v>
      </c>
      <c r="C374" t="s">
        <v>836</v>
      </c>
      <c r="D374" t="str">
        <f>CONCATENATE("0130004989","")</f>
        <v>0130004989</v>
      </c>
      <c r="E374" t="str">
        <f>CONCATENATE("0060801000620       ","")</f>
        <v>0060801000620       </v>
      </c>
      <c r="F374" t="str">
        <f>CONCATENATE("605114680","")</f>
        <v>605114680</v>
      </c>
      <c r="G374" t="s">
        <v>840</v>
      </c>
      <c r="H374" t="s">
        <v>844</v>
      </c>
      <c r="I374" t="str">
        <f>CONCATENATE("28-DE-JULIO-883","")</f>
        <v>28-DE-JULIO-883</v>
      </c>
      <c r="J374" t="str">
        <f t="shared" si="60"/>
        <v>080608</v>
      </c>
      <c r="K374" t="s">
        <v>21</v>
      </c>
      <c r="L374" t="s">
        <v>22</v>
      </c>
      <c r="M374" t="str">
        <f t="shared" si="59"/>
        <v>1</v>
      </c>
      <c r="O374" t="str">
        <f t="shared" si="58"/>
        <v>1 </v>
      </c>
      <c r="P374">
        <v>36.8</v>
      </c>
      <c r="Q374" t="s">
        <v>23</v>
      </c>
    </row>
    <row r="375" spans="1:17" ht="15">
      <c r="A375" t="s">
        <v>17</v>
      </c>
      <c r="B375" s="1">
        <v>41807</v>
      </c>
      <c r="C375" t="s">
        <v>836</v>
      </c>
      <c r="D375" t="str">
        <f>CONCATENATE("0130005042","")</f>
        <v>0130005042</v>
      </c>
      <c r="E375" t="str">
        <f>CONCATENATE("0060801001045       ","")</f>
        <v>0060801001045       </v>
      </c>
      <c r="F375" t="str">
        <f>CONCATENATE("605355162","")</f>
        <v>605355162</v>
      </c>
      <c r="G375" t="s">
        <v>840</v>
      </c>
      <c r="H375" t="s">
        <v>845</v>
      </c>
      <c r="I375" t="s">
        <v>846</v>
      </c>
      <c r="J375" t="str">
        <f t="shared" si="60"/>
        <v>080608</v>
      </c>
      <c r="K375" t="s">
        <v>21</v>
      </c>
      <c r="L375" t="s">
        <v>22</v>
      </c>
      <c r="M375" t="str">
        <f t="shared" si="59"/>
        <v>1</v>
      </c>
      <c r="O375" t="str">
        <f t="shared" si="58"/>
        <v>1 </v>
      </c>
      <c r="P375">
        <v>26.75</v>
      </c>
      <c r="Q375" t="s">
        <v>23</v>
      </c>
    </row>
    <row r="376" spans="1:17" ht="15">
      <c r="A376" t="s">
        <v>17</v>
      </c>
      <c r="B376" s="1">
        <v>41807</v>
      </c>
      <c r="C376" t="s">
        <v>836</v>
      </c>
      <c r="D376" t="str">
        <f>CONCATENATE("0130005050","")</f>
        <v>0130005050</v>
      </c>
      <c r="E376" t="str">
        <f>CONCATENATE("0060801001088       ","")</f>
        <v>0060801001088       </v>
      </c>
      <c r="F376" t="str">
        <f>CONCATENATE("605353843","")</f>
        <v>605353843</v>
      </c>
      <c r="G376" t="s">
        <v>840</v>
      </c>
      <c r="H376" t="s">
        <v>847</v>
      </c>
      <c r="I376" t="s">
        <v>848</v>
      </c>
      <c r="J376" t="str">
        <f t="shared" si="60"/>
        <v>080608</v>
      </c>
      <c r="K376" t="s">
        <v>21</v>
      </c>
      <c r="L376" t="s">
        <v>22</v>
      </c>
      <c r="M376" t="str">
        <f t="shared" si="59"/>
        <v>1</v>
      </c>
      <c r="O376" t="str">
        <f t="shared" si="58"/>
        <v>1 </v>
      </c>
      <c r="P376">
        <v>11.4</v>
      </c>
      <c r="Q376" t="s">
        <v>23</v>
      </c>
    </row>
    <row r="377" spans="1:17" ht="15">
      <c r="A377" t="s">
        <v>17</v>
      </c>
      <c r="B377" s="1">
        <v>41807</v>
      </c>
      <c r="C377" t="s">
        <v>836</v>
      </c>
      <c r="D377" t="str">
        <f>CONCATENATE("0130005056","")</f>
        <v>0130005056</v>
      </c>
      <c r="E377" t="str">
        <f>CONCATENATE("0060801001130       ","")</f>
        <v>0060801001130       </v>
      </c>
      <c r="F377" t="str">
        <f>CONCATENATE("605397877","")</f>
        <v>605397877</v>
      </c>
      <c r="G377" t="s">
        <v>840</v>
      </c>
      <c r="H377" t="s">
        <v>849</v>
      </c>
      <c r="I377" t="s">
        <v>848</v>
      </c>
      <c r="J377" t="str">
        <f t="shared" si="60"/>
        <v>080608</v>
      </c>
      <c r="K377" t="s">
        <v>21</v>
      </c>
      <c r="L377" t="s">
        <v>22</v>
      </c>
      <c r="M377" t="str">
        <f t="shared" si="59"/>
        <v>1</v>
      </c>
      <c r="O377" t="str">
        <f t="shared" si="58"/>
        <v>1 </v>
      </c>
      <c r="P377">
        <v>209.25</v>
      </c>
      <c r="Q377" t="s">
        <v>23</v>
      </c>
    </row>
    <row r="378" spans="1:17" ht="15">
      <c r="A378" t="s">
        <v>17</v>
      </c>
      <c r="B378" s="1">
        <v>41807</v>
      </c>
      <c r="C378" t="s">
        <v>836</v>
      </c>
      <c r="D378" t="str">
        <f>CONCATENATE("0130005099","")</f>
        <v>0130005099</v>
      </c>
      <c r="E378" t="str">
        <f>CONCATENATE("0060801001430       ","")</f>
        <v>0060801001430       </v>
      </c>
      <c r="F378" t="str">
        <f>CONCATENATE("605555317","")</f>
        <v>605555317</v>
      </c>
      <c r="G378" t="s">
        <v>850</v>
      </c>
      <c r="H378" t="s">
        <v>851</v>
      </c>
      <c r="I378" t="s">
        <v>852</v>
      </c>
      <c r="J378" t="str">
        <f t="shared" si="60"/>
        <v>080608</v>
      </c>
      <c r="K378" t="s">
        <v>21</v>
      </c>
      <c r="L378" t="s">
        <v>22</v>
      </c>
      <c r="M378" t="str">
        <f t="shared" si="59"/>
        <v>1</v>
      </c>
      <c r="O378" t="str">
        <f t="shared" si="58"/>
        <v>1 </v>
      </c>
      <c r="P378">
        <v>12.15</v>
      </c>
      <c r="Q378" t="s">
        <v>23</v>
      </c>
    </row>
    <row r="379" spans="1:17" ht="15">
      <c r="A379" t="s">
        <v>17</v>
      </c>
      <c r="B379" s="1">
        <v>41807</v>
      </c>
      <c r="C379" t="s">
        <v>836</v>
      </c>
      <c r="D379" t="str">
        <f>CONCATENATE("0130005146","")</f>
        <v>0130005146</v>
      </c>
      <c r="E379" t="str">
        <f>CONCATENATE("0060801001800       ","")</f>
        <v>0060801001800       </v>
      </c>
      <c r="F379" t="str">
        <f>CONCATENATE("152214","")</f>
        <v>152214</v>
      </c>
      <c r="G379" t="s">
        <v>840</v>
      </c>
      <c r="H379" t="s">
        <v>853</v>
      </c>
      <c r="I379" t="s">
        <v>854</v>
      </c>
      <c r="J379" t="str">
        <f t="shared" si="60"/>
        <v>080608</v>
      </c>
      <c r="K379" t="s">
        <v>21</v>
      </c>
      <c r="L379" t="s">
        <v>22</v>
      </c>
      <c r="M379" t="str">
        <f t="shared" si="59"/>
        <v>1</v>
      </c>
      <c r="O379" t="str">
        <f t="shared" si="58"/>
        <v>1 </v>
      </c>
      <c r="P379">
        <v>40.25</v>
      </c>
      <c r="Q379" t="s">
        <v>23</v>
      </c>
    </row>
    <row r="380" spans="1:17" ht="15">
      <c r="A380" t="s">
        <v>17</v>
      </c>
      <c r="B380" s="1">
        <v>41807</v>
      </c>
      <c r="C380" t="s">
        <v>836</v>
      </c>
      <c r="D380" t="str">
        <f>CONCATENATE("0130005162","")</f>
        <v>0130005162</v>
      </c>
      <c r="E380" t="str">
        <f>CONCATENATE("0060802000080       ","")</f>
        <v>0060802000080       </v>
      </c>
      <c r="F380" t="str">
        <f>CONCATENATE("00348584","")</f>
        <v>00348584</v>
      </c>
      <c r="G380" t="s">
        <v>850</v>
      </c>
      <c r="H380" t="s">
        <v>855</v>
      </c>
      <c r="I380" t="s">
        <v>856</v>
      </c>
      <c r="J380" t="str">
        <f t="shared" si="60"/>
        <v>080608</v>
      </c>
      <c r="K380" t="s">
        <v>21</v>
      </c>
      <c r="L380" t="s">
        <v>22</v>
      </c>
      <c r="M380" t="str">
        <f t="shared" si="59"/>
        <v>1</v>
      </c>
      <c r="O380" t="str">
        <f t="shared" si="58"/>
        <v>1 </v>
      </c>
      <c r="P380">
        <v>30.8</v>
      </c>
      <c r="Q380" t="s">
        <v>23</v>
      </c>
    </row>
    <row r="381" spans="1:17" ht="15">
      <c r="A381" t="s">
        <v>17</v>
      </c>
      <c r="B381" s="1">
        <v>41807</v>
      </c>
      <c r="C381" t="s">
        <v>836</v>
      </c>
      <c r="D381" t="str">
        <f>CONCATENATE("0130005177","")</f>
        <v>0130005177</v>
      </c>
      <c r="E381" t="str">
        <f>CONCATENATE("0060802000190       ","")</f>
        <v>0060802000190       </v>
      </c>
      <c r="F381" t="str">
        <f>CONCATENATE("605113000","")</f>
        <v>605113000</v>
      </c>
      <c r="G381" t="s">
        <v>837</v>
      </c>
      <c r="H381" t="s">
        <v>857</v>
      </c>
      <c r="I381" t="s">
        <v>858</v>
      </c>
      <c r="J381" t="str">
        <f t="shared" si="60"/>
        <v>080608</v>
      </c>
      <c r="K381" t="s">
        <v>21</v>
      </c>
      <c r="L381" t="s">
        <v>22</v>
      </c>
      <c r="M381" t="str">
        <f t="shared" si="59"/>
        <v>1</v>
      </c>
      <c r="O381" t="str">
        <f t="shared" si="58"/>
        <v>1 </v>
      </c>
      <c r="P381">
        <v>670.85</v>
      </c>
      <c r="Q381" t="s">
        <v>23</v>
      </c>
    </row>
    <row r="382" spans="1:17" ht="15">
      <c r="A382" t="s">
        <v>17</v>
      </c>
      <c r="B382" s="1">
        <v>41807</v>
      </c>
      <c r="C382" t="s">
        <v>836</v>
      </c>
      <c r="D382" t="str">
        <f>CONCATENATE("0130008895","")</f>
        <v>0130008895</v>
      </c>
      <c r="E382" t="str">
        <f>CONCATENATE("0060802000191       ","")</f>
        <v>0060802000191       </v>
      </c>
      <c r="F382" t="str">
        <f>CONCATENATE("7296397","")</f>
        <v>7296397</v>
      </c>
      <c r="G382" t="s">
        <v>837</v>
      </c>
      <c r="H382" t="s">
        <v>859</v>
      </c>
      <c r="I382" t="s">
        <v>212</v>
      </c>
      <c r="J382" t="str">
        <f t="shared" si="60"/>
        <v>080608</v>
      </c>
      <c r="K382" t="s">
        <v>21</v>
      </c>
      <c r="L382" t="s">
        <v>22</v>
      </c>
      <c r="M382" t="str">
        <f t="shared" si="59"/>
        <v>1</v>
      </c>
      <c r="O382" t="str">
        <f t="shared" si="58"/>
        <v>1 </v>
      </c>
      <c r="P382">
        <v>34.85</v>
      </c>
      <c r="Q382" t="s">
        <v>23</v>
      </c>
    </row>
    <row r="383" spans="1:17" ht="15">
      <c r="A383" t="s">
        <v>17</v>
      </c>
      <c r="B383" s="1">
        <v>41807</v>
      </c>
      <c r="C383" t="s">
        <v>836</v>
      </c>
      <c r="D383" t="str">
        <f>CONCATENATE("0130008973","")</f>
        <v>0130008973</v>
      </c>
      <c r="E383" t="str">
        <f>CONCATENATE("0060802000415       ","")</f>
        <v>0060802000415       </v>
      </c>
      <c r="F383" t="str">
        <f>CONCATENATE("7299701","")</f>
        <v>7299701</v>
      </c>
      <c r="G383" t="s">
        <v>837</v>
      </c>
      <c r="H383" t="s">
        <v>860</v>
      </c>
      <c r="I383" t="s">
        <v>861</v>
      </c>
      <c r="J383" t="str">
        <f t="shared" si="60"/>
        <v>080608</v>
      </c>
      <c r="K383" t="s">
        <v>21</v>
      </c>
      <c r="L383" t="s">
        <v>22</v>
      </c>
      <c r="M383" t="str">
        <f t="shared" si="59"/>
        <v>1</v>
      </c>
      <c r="O383" t="str">
        <f t="shared" si="58"/>
        <v>1 </v>
      </c>
      <c r="P383">
        <v>21.9</v>
      </c>
      <c r="Q383" t="s">
        <v>23</v>
      </c>
    </row>
    <row r="384" spans="1:17" ht="15">
      <c r="A384" t="s">
        <v>17</v>
      </c>
      <c r="B384" s="1">
        <v>41807</v>
      </c>
      <c r="C384" t="s">
        <v>836</v>
      </c>
      <c r="D384" t="str">
        <f>CONCATENATE("0040030821","")</f>
        <v>0040030821</v>
      </c>
      <c r="E384" t="str">
        <f>CONCATENATE("0060802000602       ","")</f>
        <v>0060802000602       </v>
      </c>
      <c r="F384" t="str">
        <f>CONCATENATE("2150254","")</f>
        <v>2150254</v>
      </c>
      <c r="G384" t="s">
        <v>850</v>
      </c>
      <c r="H384" t="s">
        <v>862</v>
      </c>
      <c r="I384" t="s">
        <v>863</v>
      </c>
      <c r="J384" t="str">
        <f t="shared" si="60"/>
        <v>080608</v>
      </c>
      <c r="K384" t="s">
        <v>21</v>
      </c>
      <c r="L384" t="s">
        <v>22</v>
      </c>
      <c r="M384" t="str">
        <f t="shared" si="59"/>
        <v>1</v>
      </c>
      <c r="O384" t="str">
        <f t="shared" si="58"/>
        <v>1 </v>
      </c>
      <c r="P384">
        <v>11.4</v>
      </c>
      <c r="Q384" t="s">
        <v>23</v>
      </c>
    </row>
    <row r="385" spans="1:17" ht="15">
      <c r="A385" t="s">
        <v>17</v>
      </c>
      <c r="B385" s="1">
        <v>41807</v>
      </c>
      <c r="C385" t="s">
        <v>836</v>
      </c>
      <c r="D385" t="str">
        <f>CONCATENATE("0130005271","")</f>
        <v>0130005271</v>
      </c>
      <c r="E385" t="str">
        <f>CONCATENATE("0060802000800       ","")</f>
        <v>0060802000800       </v>
      </c>
      <c r="F385" t="str">
        <f>CONCATENATE("605555191","")</f>
        <v>605555191</v>
      </c>
      <c r="G385" t="s">
        <v>837</v>
      </c>
      <c r="H385" t="s">
        <v>864</v>
      </c>
      <c r="I385" t="s">
        <v>865</v>
      </c>
      <c r="J385" t="str">
        <f t="shared" si="60"/>
        <v>080608</v>
      </c>
      <c r="K385" t="s">
        <v>21</v>
      </c>
      <c r="L385" t="s">
        <v>22</v>
      </c>
      <c r="M385" t="str">
        <f t="shared" si="59"/>
        <v>1</v>
      </c>
      <c r="O385" t="str">
        <f t="shared" si="58"/>
        <v>1 </v>
      </c>
      <c r="P385">
        <v>39.25</v>
      </c>
      <c r="Q385" t="s">
        <v>23</v>
      </c>
    </row>
    <row r="386" spans="1:17" ht="15">
      <c r="A386" t="s">
        <v>17</v>
      </c>
      <c r="B386" s="1">
        <v>41807</v>
      </c>
      <c r="C386" t="s">
        <v>836</v>
      </c>
      <c r="D386" t="str">
        <f>CONCATENATE("0130009662","")</f>
        <v>0130009662</v>
      </c>
      <c r="E386" t="str">
        <f>CONCATENATE("0060802001387       ","")</f>
        <v>0060802001387       </v>
      </c>
      <c r="F386" t="str">
        <f>CONCATENATE("605564565","")</f>
        <v>605564565</v>
      </c>
      <c r="G386" t="s">
        <v>837</v>
      </c>
      <c r="H386" t="s">
        <v>866</v>
      </c>
      <c r="I386" t="s">
        <v>867</v>
      </c>
      <c r="J386" t="str">
        <f t="shared" si="60"/>
        <v>080608</v>
      </c>
      <c r="K386" t="s">
        <v>21</v>
      </c>
      <c r="L386" t="s">
        <v>22</v>
      </c>
      <c r="M386" t="str">
        <f t="shared" si="59"/>
        <v>1</v>
      </c>
      <c r="O386" t="str">
        <f t="shared" si="58"/>
        <v>1 </v>
      </c>
      <c r="P386">
        <v>97</v>
      </c>
      <c r="Q386" t="s">
        <v>23</v>
      </c>
    </row>
    <row r="387" spans="1:17" ht="15">
      <c r="A387" t="s">
        <v>17</v>
      </c>
      <c r="B387" s="1">
        <v>41807</v>
      </c>
      <c r="C387" t="s">
        <v>836</v>
      </c>
      <c r="D387" t="str">
        <f>CONCATENATE("0130020925","")</f>
        <v>0130020925</v>
      </c>
      <c r="E387" t="str">
        <f>CONCATENATE("0060802001636       ","")</f>
        <v>0060802001636       </v>
      </c>
      <c r="F387" t="str">
        <f>CONCATENATE("1762772","")</f>
        <v>1762772</v>
      </c>
      <c r="G387" t="s">
        <v>868</v>
      </c>
      <c r="H387" t="s">
        <v>869</v>
      </c>
      <c r="I387" t="s">
        <v>870</v>
      </c>
      <c r="J387" t="str">
        <f t="shared" si="60"/>
        <v>080608</v>
      </c>
      <c r="K387" t="s">
        <v>21</v>
      </c>
      <c r="L387" t="s">
        <v>22</v>
      </c>
      <c r="M387" t="str">
        <f t="shared" si="59"/>
        <v>1</v>
      </c>
      <c r="O387" t="str">
        <f t="shared" si="58"/>
        <v>1 </v>
      </c>
      <c r="P387">
        <v>27.1</v>
      </c>
      <c r="Q387" t="s">
        <v>23</v>
      </c>
    </row>
    <row r="388" spans="1:17" ht="15">
      <c r="A388" t="s">
        <v>17</v>
      </c>
      <c r="B388" s="1">
        <v>41807</v>
      </c>
      <c r="C388" t="s">
        <v>836</v>
      </c>
      <c r="D388" t="str">
        <f>CONCATENATE("0130010178","")</f>
        <v>0130010178</v>
      </c>
      <c r="E388" t="str">
        <f>CONCATENATE("0060802003014       ","")</f>
        <v>0060802003014       </v>
      </c>
      <c r="F388" t="str">
        <f>CONCATENATE("605393476","")</f>
        <v>605393476</v>
      </c>
      <c r="G388" t="s">
        <v>868</v>
      </c>
      <c r="H388" t="s">
        <v>871</v>
      </c>
      <c r="I388" t="s">
        <v>872</v>
      </c>
      <c r="J388" t="str">
        <f t="shared" si="60"/>
        <v>080608</v>
      </c>
      <c r="K388" t="s">
        <v>21</v>
      </c>
      <c r="L388" t="s">
        <v>22</v>
      </c>
      <c r="M388" t="str">
        <f t="shared" si="59"/>
        <v>1</v>
      </c>
      <c r="O388" t="str">
        <f t="shared" si="58"/>
        <v>1 </v>
      </c>
      <c r="P388">
        <v>13.75</v>
      </c>
      <c r="Q388" t="s">
        <v>23</v>
      </c>
    </row>
    <row r="389" spans="1:17" ht="15">
      <c r="A389" t="s">
        <v>17</v>
      </c>
      <c r="B389" s="1">
        <v>41807</v>
      </c>
      <c r="C389" t="s">
        <v>836</v>
      </c>
      <c r="D389" t="str">
        <f>CONCATENATE("0130012309","")</f>
        <v>0130012309</v>
      </c>
      <c r="E389" t="str">
        <f>CONCATENATE("0060818000110       ","")</f>
        <v>0060818000110       </v>
      </c>
      <c r="F389" t="str">
        <f>CONCATENATE("00002757231","")</f>
        <v>00002757231</v>
      </c>
      <c r="G389" t="s">
        <v>873</v>
      </c>
      <c r="H389" t="s">
        <v>874</v>
      </c>
      <c r="I389" t="s">
        <v>875</v>
      </c>
      <c r="J389" t="str">
        <f t="shared" si="60"/>
        <v>080608</v>
      </c>
      <c r="K389" t="s">
        <v>21</v>
      </c>
      <c r="L389" t="s">
        <v>22</v>
      </c>
      <c r="M389" t="str">
        <f t="shared" si="59"/>
        <v>1</v>
      </c>
      <c r="O389" t="str">
        <f>CONCATENATE("3 ","")</f>
        <v>3 </v>
      </c>
      <c r="P389">
        <v>22.9</v>
      </c>
      <c r="Q389" t="s">
        <v>23</v>
      </c>
    </row>
    <row r="390" spans="1:17" ht="15">
      <c r="A390" t="s">
        <v>17</v>
      </c>
      <c r="B390" s="1">
        <v>41807</v>
      </c>
      <c r="C390" t="s">
        <v>836</v>
      </c>
      <c r="D390" t="str">
        <f>CONCATENATE("0130015848","")</f>
        <v>0130015848</v>
      </c>
      <c r="E390" t="str">
        <f>CONCATENATE("0060819000210       ","")</f>
        <v>0060819000210       </v>
      </c>
      <c r="F390" t="str">
        <f>CONCATENATE("605290148","")</f>
        <v>605290148</v>
      </c>
      <c r="G390" t="s">
        <v>876</v>
      </c>
      <c r="H390" t="s">
        <v>877</v>
      </c>
      <c r="I390" t="s">
        <v>878</v>
      </c>
      <c r="J390" t="str">
        <f t="shared" si="60"/>
        <v>080608</v>
      </c>
      <c r="K390" t="s">
        <v>21</v>
      </c>
      <c r="L390" t="s">
        <v>22</v>
      </c>
      <c r="M390" t="str">
        <f t="shared" si="59"/>
        <v>1</v>
      </c>
      <c r="O390" t="str">
        <f>CONCATENATE("1 ","")</f>
        <v>1 </v>
      </c>
      <c r="P390">
        <v>27.5</v>
      </c>
      <c r="Q390" t="s">
        <v>23</v>
      </c>
    </row>
    <row r="391" spans="1:17" ht="15">
      <c r="A391" t="s">
        <v>17</v>
      </c>
      <c r="B391" s="1">
        <v>41807</v>
      </c>
      <c r="C391" t="s">
        <v>836</v>
      </c>
      <c r="D391" t="str">
        <f>CONCATENATE("0130012423","")</f>
        <v>0130012423</v>
      </c>
      <c r="E391" t="str">
        <f>CONCATENATE("0060819000510       ","")</f>
        <v>0060819000510       </v>
      </c>
      <c r="F391" t="str">
        <f>CONCATENATE("606669036","")</f>
        <v>606669036</v>
      </c>
      <c r="G391" t="s">
        <v>876</v>
      </c>
      <c r="H391" t="s">
        <v>879</v>
      </c>
      <c r="I391" t="s">
        <v>880</v>
      </c>
      <c r="J391" t="str">
        <f t="shared" si="60"/>
        <v>080608</v>
      </c>
      <c r="K391" t="s">
        <v>21</v>
      </c>
      <c r="L391" t="s">
        <v>22</v>
      </c>
      <c r="M391" t="str">
        <f t="shared" si="59"/>
        <v>1</v>
      </c>
      <c r="O391" t="str">
        <f>CONCATENATE("1 ","")</f>
        <v>1 </v>
      </c>
      <c r="P391">
        <v>23.9</v>
      </c>
      <c r="Q391" t="s">
        <v>23</v>
      </c>
    </row>
    <row r="392" spans="1:17" ht="15">
      <c r="A392" t="s">
        <v>17</v>
      </c>
      <c r="B392" s="1">
        <v>41807</v>
      </c>
      <c r="C392" t="s">
        <v>836</v>
      </c>
      <c r="D392" t="str">
        <f>CONCATENATE("0130005471","")</f>
        <v>0130005471</v>
      </c>
      <c r="E392" t="str">
        <f>CONCATENATE("0060820000760       ","")</f>
        <v>0060820000760       </v>
      </c>
      <c r="F392" t="str">
        <f>CONCATENATE("50588","")</f>
        <v>50588</v>
      </c>
      <c r="G392" t="s">
        <v>881</v>
      </c>
      <c r="H392" t="s">
        <v>882</v>
      </c>
      <c r="I392" t="s">
        <v>883</v>
      </c>
      <c r="J392" t="str">
        <f t="shared" si="60"/>
        <v>080608</v>
      </c>
      <c r="K392" t="s">
        <v>21</v>
      </c>
      <c r="L392" t="s">
        <v>22</v>
      </c>
      <c r="M392" t="str">
        <f t="shared" si="59"/>
        <v>1</v>
      </c>
      <c r="O392" t="str">
        <f>CONCATENATE("1 ","")</f>
        <v>1 </v>
      </c>
      <c r="P392">
        <v>11.4</v>
      </c>
      <c r="Q392" t="s">
        <v>23</v>
      </c>
    </row>
    <row r="393" spans="1:17" ht="15">
      <c r="A393" t="s">
        <v>17</v>
      </c>
      <c r="B393" s="1">
        <v>41807</v>
      </c>
      <c r="C393" t="s">
        <v>836</v>
      </c>
      <c r="D393" t="str">
        <f>CONCATENATE("0040030790","")</f>
        <v>0040030790</v>
      </c>
      <c r="E393" t="str">
        <f>CONCATENATE("0060820000780       ","")</f>
        <v>0060820000780       </v>
      </c>
      <c r="F393" t="str">
        <f>CONCATENATE("2191676","")</f>
        <v>2191676</v>
      </c>
      <c r="G393" t="s">
        <v>881</v>
      </c>
      <c r="H393" t="s">
        <v>884</v>
      </c>
      <c r="I393" t="s">
        <v>885</v>
      </c>
      <c r="J393" t="str">
        <f t="shared" si="60"/>
        <v>080608</v>
      </c>
      <c r="K393" t="s">
        <v>21</v>
      </c>
      <c r="L393" t="s">
        <v>22</v>
      </c>
      <c r="M393" t="str">
        <f t="shared" si="59"/>
        <v>1</v>
      </c>
      <c r="O393" t="str">
        <f>CONCATENATE("1 ","")</f>
        <v>1 </v>
      </c>
      <c r="P393">
        <v>13.25</v>
      </c>
      <c r="Q393" t="s">
        <v>23</v>
      </c>
    </row>
    <row r="394" spans="1:17" ht="15">
      <c r="A394" t="s">
        <v>17</v>
      </c>
      <c r="B394" s="1">
        <v>41807</v>
      </c>
      <c r="C394" t="s">
        <v>836</v>
      </c>
      <c r="D394" t="str">
        <f>CONCATENATE("0040032999","")</f>
        <v>0040032999</v>
      </c>
      <c r="E394" t="str">
        <f>CONCATENATE("0060826000094       ","")</f>
        <v>0060826000094       </v>
      </c>
      <c r="F394" t="str">
        <f>CONCATENATE("2187117","")</f>
        <v>2187117</v>
      </c>
      <c r="G394" t="s">
        <v>886</v>
      </c>
      <c r="H394" t="s">
        <v>887</v>
      </c>
      <c r="I394" t="s">
        <v>888</v>
      </c>
      <c r="J394" t="str">
        <f t="shared" si="60"/>
        <v>080608</v>
      </c>
      <c r="K394" t="s">
        <v>21</v>
      </c>
      <c r="L394" t="s">
        <v>22</v>
      </c>
      <c r="M394" t="str">
        <f t="shared" si="59"/>
        <v>1</v>
      </c>
      <c r="O394" t="str">
        <f>CONCATENATE("2 ","")</f>
        <v>2 </v>
      </c>
      <c r="P394">
        <v>44.6</v>
      </c>
      <c r="Q394" t="s">
        <v>23</v>
      </c>
    </row>
    <row r="395" spans="1:17" ht="15">
      <c r="A395" t="s">
        <v>17</v>
      </c>
      <c r="B395" s="1">
        <v>41807</v>
      </c>
      <c r="C395" t="s">
        <v>836</v>
      </c>
      <c r="D395" t="str">
        <f>CONCATENATE("0130010943","")</f>
        <v>0130010943</v>
      </c>
      <c r="E395" t="str">
        <f>CONCATENATE("0060827000135       ","")</f>
        <v>0060827000135       </v>
      </c>
      <c r="F395" t="str">
        <f>CONCATENATE("605749375","")</f>
        <v>605749375</v>
      </c>
      <c r="G395" t="s">
        <v>889</v>
      </c>
      <c r="H395" t="s">
        <v>890</v>
      </c>
      <c r="I395" t="s">
        <v>891</v>
      </c>
      <c r="J395" t="str">
        <f t="shared" si="60"/>
        <v>080608</v>
      </c>
      <c r="K395" t="s">
        <v>21</v>
      </c>
      <c r="L395" t="s">
        <v>22</v>
      </c>
      <c r="M395" t="str">
        <f t="shared" si="59"/>
        <v>1</v>
      </c>
      <c r="O395" t="str">
        <f>CONCATENATE("1 ","")</f>
        <v>1 </v>
      </c>
      <c r="P395">
        <v>11.4</v>
      </c>
      <c r="Q395" t="s">
        <v>23</v>
      </c>
    </row>
    <row r="396" spans="1:17" ht="15">
      <c r="A396" t="s">
        <v>17</v>
      </c>
      <c r="B396" s="1">
        <v>41807</v>
      </c>
      <c r="C396" t="s">
        <v>836</v>
      </c>
      <c r="D396" t="str">
        <f>CONCATENATE("0130008571","")</f>
        <v>0130008571</v>
      </c>
      <c r="E396" t="str">
        <f>CONCATENATE("0060827000470       ","")</f>
        <v>0060827000470       </v>
      </c>
      <c r="F396" t="str">
        <f>CONCATENATE("0606031554","")</f>
        <v>0606031554</v>
      </c>
      <c r="G396" t="s">
        <v>889</v>
      </c>
      <c r="H396" t="s">
        <v>892</v>
      </c>
      <c r="I396" t="s">
        <v>893</v>
      </c>
      <c r="J396" t="str">
        <f t="shared" si="60"/>
        <v>080608</v>
      </c>
      <c r="K396" t="s">
        <v>21</v>
      </c>
      <c r="L396" t="s">
        <v>22</v>
      </c>
      <c r="M396" t="str">
        <f t="shared" si="59"/>
        <v>1</v>
      </c>
      <c r="O396" t="str">
        <f>CONCATENATE("2 ","")</f>
        <v>2 </v>
      </c>
      <c r="P396">
        <v>30.95</v>
      </c>
      <c r="Q396" t="s">
        <v>23</v>
      </c>
    </row>
    <row r="397" spans="1:17" ht="15">
      <c r="A397" t="s">
        <v>17</v>
      </c>
      <c r="B397" s="1">
        <v>41807</v>
      </c>
      <c r="C397" t="s">
        <v>836</v>
      </c>
      <c r="D397" t="str">
        <f>CONCATENATE("0040033317","")</f>
        <v>0040033317</v>
      </c>
      <c r="E397" t="str">
        <f>CONCATENATE("0060828000038       ","")</f>
        <v>0060828000038       </v>
      </c>
      <c r="F397" t="str">
        <f>CONCATENATE("606667431","")</f>
        <v>606667431</v>
      </c>
      <c r="G397" t="s">
        <v>894</v>
      </c>
      <c r="H397" t="s">
        <v>895</v>
      </c>
      <c r="I397" t="s">
        <v>896</v>
      </c>
      <c r="J397" t="str">
        <f t="shared" si="60"/>
        <v>080608</v>
      </c>
      <c r="K397" t="s">
        <v>21</v>
      </c>
      <c r="L397" t="s">
        <v>22</v>
      </c>
      <c r="M397" t="str">
        <f t="shared" si="59"/>
        <v>1</v>
      </c>
      <c r="O397" t="str">
        <f>CONCATENATE("1 ","")</f>
        <v>1 </v>
      </c>
      <c r="P397">
        <v>25.55</v>
      </c>
      <c r="Q397" t="s">
        <v>23</v>
      </c>
    </row>
    <row r="398" spans="1:17" ht="15">
      <c r="A398" t="s">
        <v>17</v>
      </c>
      <c r="B398" s="1">
        <v>41807</v>
      </c>
      <c r="C398" t="s">
        <v>836</v>
      </c>
      <c r="D398" t="str">
        <f>CONCATENATE("0130005679","")</f>
        <v>0130005679</v>
      </c>
      <c r="E398" t="str">
        <f>CONCATENATE("0060828000420       ","")</f>
        <v>0060828000420       </v>
      </c>
      <c r="F398" t="str">
        <f>CONCATENATE("605398219","")</f>
        <v>605398219</v>
      </c>
      <c r="G398" t="s">
        <v>894</v>
      </c>
      <c r="H398" t="s">
        <v>897</v>
      </c>
      <c r="I398" t="s">
        <v>898</v>
      </c>
      <c r="J398" t="str">
        <f t="shared" si="60"/>
        <v>080608</v>
      </c>
      <c r="K398" t="s">
        <v>21</v>
      </c>
      <c r="L398" t="s">
        <v>22</v>
      </c>
      <c r="M398" t="str">
        <f>CONCATENATE("2","")</f>
        <v>2</v>
      </c>
      <c r="O398" t="str">
        <f>CONCATENATE("1 ","")</f>
        <v>1 </v>
      </c>
      <c r="P398">
        <v>29.05</v>
      </c>
      <c r="Q398" t="s">
        <v>23</v>
      </c>
    </row>
    <row r="399" spans="1:17" ht="15">
      <c r="A399" t="s">
        <v>17</v>
      </c>
      <c r="B399" s="1">
        <v>41807</v>
      </c>
      <c r="C399" t="s">
        <v>836</v>
      </c>
      <c r="D399" t="str">
        <f>CONCATENATE("0130009652","")</f>
        <v>0130009652</v>
      </c>
      <c r="E399" t="str">
        <f>CONCATENATE("0060828000491       ","")</f>
        <v>0060828000491       </v>
      </c>
      <c r="F399" t="str">
        <f>CONCATENATE("1601657","")</f>
        <v>1601657</v>
      </c>
      <c r="G399" t="s">
        <v>894</v>
      </c>
      <c r="H399" t="s">
        <v>899</v>
      </c>
      <c r="I399" t="s">
        <v>900</v>
      </c>
      <c r="J399" t="str">
        <f t="shared" si="60"/>
        <v>080608</v>
      </c>
      <c r="K399" t="s">
        <v>21</v>
      </c>
      <c r="L399" t="s">
        <v>22</v>
      </c>
      <c r="M399" t="str">
        <f aca="true" t="shared" si="61" ref="M399:M434">CONCATENATE("1","")</f>
        <v>1</v>
      </c>
      <c r="O399" t="str">
        <f>CONCATENATE("1 ","")</f>
        <v>1 </v>
      </c>
      <c r="P399">
        <v>16.4</v>
      </c>
      <c r="Q399" t="s">
        <v>23</v>
      </c>
    </row>
    <row r="400" spans="1:17" ht="15">
      <c r="A400" t="s">
        <v>17</v>
      </c>
      <c r="B400" s="1">
        <v>41807</v>
      </c>
      <c r="C400" t="s">
        <v>836</v>
      </c>
      <c r="D400" t="str">
        <f>CONCATENATE("0130005701","")</f>
        <v>0130005701</v>
      </c>
      <c r="E400" t="str">
        <f>CONCATENATE("0060828000782       ","")</f>
        <v>0060828000782       </v>
      </c>
      <c r="F400" t="str">
        <f>CONCATENATE("605398225","")</f>
        <v>605398225</v>
      </c>
      <c r="G400" t="s">
        <v>894</v>
      </c>
      <c r="H400" t="s">
        <v>901</v>
      </c>
      <c r="I400" t="s">
        <v>902</v>
      </c>
      <c r="J400" t="str">
        <f t="shared" si="60"/>
        <v>080608</v>
      </c>
      <c r="K400" t="s">
        <v>21</v>
      </c>
      <c r="L400" t="s">
        <v>22</v>
      </c>
      <c r="M400" t="str">
        <f t="shared" si="61"/>
        <v>1</v>
      </c>
      <c r="O400" t="str">
        <f>CONCATENATE("7 ","")</f>
        <v>7 </v>
      </c>
      <c r="P400">
        <v>67.9</v>
      </c>
      <c r="Q400" t="s">
        <v>23</v>
      </c>
    </row>
    <row r="401" spans="1:17" ht="15">
      <c r="A401" t="s">
        <v>17</v>
      </c>
      <c r="B401" s="1">
        <v>41807</v>
      </c>
      <c r="C401" t="s">
        <v>903</v>
      </c>
      <c r="D401" t="str">
        <f>CONCATENATE("0130005713","")</f>
        <v>0130005713</v>
      </c>
      <c r="E401" t="str">
        <f>CONCATENATE("0100130000085       ","")</f>
        <v>0100130000085       </v>
      </c>
      <c r="F401" t="str">
        <f>CONCATENATE("505115","")</f>
        <v>505115</v>
      </c>
      <c r="G401" t="s">
        <v>904</v>
      </c>
      <c r="H401" t="s">
        <v>905</v>
      </c>
      <c r="I401" t="s">
        <v>906</v>
      </c>
      <c r="J401" t="str">
        <f>CONCATENATE("081008","")</f>
        <v>081008</v>
      </c>
      <c r="K401" t="s">
        <v>21</v>
      </c>
      <c r="L401" t="s">
        <v>22</v>
      </c>
      <c r="M401" t="str">
        <f t="shared" si="61"/>
        <v>1</v>
      </c>
      <c r="O401" t="str">
        <f aca="true" t="shared" si="62" ref="O401:O416">CONCATENATE("1 ","")</f>
        <v>1 </v>
      </c>
      <c r="P401">
        <v>22.95</v>
      </c>
      <c r="Q401" t="s">
        <v>23</v>
      </c>
    </row>
    <row r="402" spans="1:17" ht="15">
      <c r="A402" t="s">
        <v>17</v>
      </c>
      <c r="B402" s="1">
        <v>41807</v>
      </c>
      <c r="C402" t="s">
        <v>903</v>
      </c>
      <c r="D402" t="str">
        <f>CONCATENATE("0130005727","")</f>
        <v>0130005727</v>
      </c>
      <c r="E402" t="str">
        <f>CONCATENATE("0100130000330       ","")</f>
        <v>0100130000330       </v>
      </c>
      <c r="F402" t="str">
        <f>CONCATENATE("605349940","")</f>
        <v>605349940</v>
      </c>
      <c r="G402" t="s">
        <v>904</v>
      </c>
      <c r="H402" t="s">
        <v>907</v>
      </c>
      <c r="I402" t="s">
        <v>271</v>
      </c>
      <c r="J402" t="str">
        <f>CONCATENATE("081008","")</f>
        <v>081008</v>
      </c>
      <c r="K402" t="s">
        <v>21</v>
      </c>
      <c r="L402" t="s">
        <v>22</v>
      </c>
      <c r="M402" t="str">
        <f t="shared" si="61"/>
        <v>1</v>
      </c>
      <c r="O402" t="str">
        <f t="shared" si="62"/>
        <v>1 </v>
      </c>
      <c r="P402">
        <v>11.4</v>
      </c>
      <c r="Q402" t="s">
        <v>23</v>
      </c>
    </row>
    <row r="403" spans="1:17" ht="15">
      <c r="A403" t="s">
        <v>17</v>
      </c>
      <c r="B403" s="1">
        <v>41807</v>
      </c>
      <c r="C403" t="s">
        <v>908</v>
      </c>
      <c r="D403" t="str">
        <f>CONCATENATE("0130005761","")</f>
        <v>0130005761</v>
      </c>
      <c r="E403" t="str">
        <f>CONCATENATE("0100201000270       ","")</f>
        <v>0100201000270       </v>
      </c>
      <c r="F403" t="str">
        <f>CONCATENATE("605351368","")</f>
        <v>605351368</v>
      </c>
      <c r="G403" t="s">
        <v>909</v>
      </c>
      <c r="H403" t="s">
        <v>910</v>
      </c>
      <c r="I403" t="str">
        <f>CONCATENATE("21-DE-NOVIEMBRE---S-N","")</f>
        <v>21-DE-NOVIEMBRE---S-N</v>
      </c>
      <c r="J403" t="str">
        <f aca="true" t="shared" si="63" ref="J403:J420">CONCATENATE("081002","")</f>
        <v>081002</v>
      </c>
      <c r="K403" t="s">
        <v>21</v>
      </c>
      <c r="L403" t="s">
        <v>22</v>
      </c>
      <c r="M403" t="str">
        <f t="shared" si="61"/>
        <v>1</v>
      </c>
      <c r="O403" t="str">
        <f t="shared" si="62"/>
        <v>1 </v>
      </c>
      <c r="P403">
        <v>96.9</v>
      </c>
      <c r="Q403" t="s">
        <v>23</v>
      </c>
    </row>
    <row r="404" spans="1:17" ht="15">
      <c r="A404" t="s">
        <v>17</v>
      </c>
      <c r="B404" s="1">
        <v>41807</v>
      </c>
      <c r="C404" t="s">
        <v>908</v>
      </c>
      <c r="D404" t="str">
        <f>CONCATENATE("0040030852","")</f>
        <v>0040030852</v>
      </c>
      <c r="E404" t="str">
        <f>CONCATENATE("0100201000540       ","")</f>
        <v>0100201000540       </v>
      </c>
      <c r="F404" t="str">
        <f>CONCATENATE("2150244","")</f>
        <v>2150244</v>
      </c>
      <c r="G404" t="s">
        <v>911</v>
      </c>
      <c r="H404" t="s">
        <v>912</v>
      </c>
      <c r="I404" t="s">
        <v>913</v>
      </c>
      <c r="J404" t="str">
        <f t="shared" si="63"/>
        <v>081002</v>
      </c>
      <c r="K404" t="s">
        <v>21</v>
      </c>
      <c r="L404" t="s">
        <v>22</v>
      </c>
      <c r="M404" t="str">
        <f t="shared" si="61"/>
        <v>1</v>
      </c>
      <c r="O404" t="str">
        <f t="shared" si="62"/>
        <v>1 </v>
      </c>
      <c r="P404">
        <v>13.8</v>
      </c>
      <c r="Q404" t="s">
        <v>23</v>
      </c>
    </row>
    <row r="405" spans="1:17" ht="15">
      <c r="A405" t="s">
        <v>17</v>
      </c>
      <c r="B405" s="1">
        <v>41807</v>
      </c>
      <c r="C405" t="s">
        <v>908</v>
      </c>
      <c r="D405" t="str">
        <f>CONCATENATE("0130005774","")</f>
        <v>0130005774</v>
      </c>
      <c r="E405" t="str">
        <f>CONCATENATE("0100201000610       ","")</f>
        <v>0100201000610       </v>
      </c>
      <c r="F405" t="str">
        <f>CONCATENATE("606115113","")</f>
        <v>606115113</v>
      </c>
      <c r="G405" t="s">
        <v>911</v>
      </c>
      <c r="H405" t="s">
        <v>914</v>
      </c>
      <c r="I405" t="s">
        <v>915</v>
      </c>
      <c r="J405" t="str">
        <f t="shared" si="63"/>
        <v>081002</v>
      </c>
      <c r="K405" t="s">
        <v>21</v>
      </c>
      <c r="L405" t="s">
        <v>22</v>
      </c>
      <c r="M405" t="str">
        <f t="shared" si="61"/>
        <v>1</v>
      </c>
      <c r="O405" t="str">
        <f t="shared" si="62"/>
        <v>1 </v>
      </c>
      <c r="P405">
        <v>332.85</v>
      </c>
      <c r="Q405" t="s">
        <v>23</v>
      </c>
    </row>
    <row r="406" spans="1:17" ht="15">
      <c r="A406" t="s">
        <v>17</v>
      </c>
      <c r="B406" s="1">
        <v>41807</v>
      </c>
      <c r="C406" t="s">
        <v>908</v>
      </c>
      <c r="D406" t="str">
        <f>CONCATENATE("0130005836","")</f>
        <v>0130005836</v>
      </c>
      <c r="E406" t="str">
        <f>CONCATENATE("0100202000200       ","")</f>
        <v>0100202000200       </v>
      </c>
      <c r="F406" t="str">
        <f>CONCATENATE("1076626","")</f>
        <v>1076626</v>
      </c>
      <c r="G406" t="s">
        <v>909</v>
      </c>
      <c r="H406" t="s">
        <v>916</v>
      </c>
      <c r="I406" t="s">
        <v>917</v>
      </c>
      <c r="J406" t="str">
        <f t="shared" si="63"/>
        <v>081002</v>
      </c>
      <c r="K406" t="s">
        <v>21</v>
      </c>
      <c r="L406" t="s">
        <v>22</v>
      </c>
      <c r="M406" t="str">
        <f t="shared" si="61"/>
        <v>1</v>
      </c>
      <c r="O406" t="str">
        <f t="shared" si="62"/>
        <v>1 </v>
      </c>
      <c r="P406">
        <v>15.35</v>
      </c>
      <c r="Q406" t="s">
        <v>23</v>
      </c>
    </row>
    <row r="407" spans="1:17" ht="15">
      <c r="A407" t="s">
        <v>17</v>
      </c>
      <c r="B407" s="1">
        <v>41807</v>
      </c>
      <c r="C407" t="s">
        <v>908</v>
      </c>
      <c r="D407" t="str">
        <f>CONCATENATE("0040034755","")</f>
        <v>0040034755</v>
      </c>
      <c r="E407" t="str">
        <f>CONCATENATE("0100202000214       ","")</f>
        <v>0100202000214       </v>
      </c>
      <c r="F407" t="str">
        <f>CONCATENATE("606675558","")</f>
        <v>606675558</v>
      </c>
      <c r="G407" t="s">
        <v>909</v>
      </c>
      <c r="H407" t="s">
        <v>918</v>
      </c>
      <c r="I407" t="s">
        <v>919</v>
      </c>
      <c r="J407" t="str">
        <f t="shared" si="63"/>
        <v>081002</v>
      </c>
      <c r="K407" t="s">
        <v>21</v>
      </c>
      <c r="L407" t="s">
        <v>22</v>
      </c>
      <c r="M407" t="str">
        <f t="shared" si="61"/>
        <v>1</v>
      </c>
      <c r="O407" t="str">
        <f t="shared" si="62"/>
        <v>1 </v>
      </c>
      <c r="P407">
        <v>16.1</v>
      </c>
      <c r="Q407" t="s">
        <v>23</v>
      </c>
    </row>
    <row r="408" spans="1:17" ht="15">
      <c r="A408" t="s">
        <v>17</v>
      </c>
      <c r="B408" s="1">
        <v>41807</v>
      </c>
      <c r="C408" t="s">
        <v>908</v>
      </c>
      <c r="D408" t="str">
        <f>CONCATENATE("0040034281","")</f>
        <v>0040034281</v>
      </c>
      <c r="E408" t="str">
        <f>CONCATENATE("0100202000415       ","")</f>
        <v>0100202000415       </v>
      </c>
      <c r="F408" t="str">
        <f>CONCATENATE("606670674","")</f>
        <v>606670674</v>
      </c>
      <c r="G408" t="s">
        <v>909</v>
      </c>
      <c r="H408" t="s">
        <v>920</v>
      </c>
      <c r="I408" t="s">
        <v>921</v>
      </c>
      <c r="J408" t="str">
        <f t="shared" si="63"/>
        <v>081002</v>
      </c>
      <c r="K408" t="s">
        <v>21</v>
      </c>
      <c r="L408" t="s">
        <v>22</v>
      </c>
      <c r="M408" t="str">
        <f t="shared" si="61"/>
        <v>1</v>
      </c>
      <c r="O408" t="str">
        <f t="shared" si="62"/>
        <v>1 </v>
      </c>
      <c r="P408">
        <v>42.05</v>
      </c>
      <c r="Q408" t="s">
        <v>23</v>
      </c>
    </row>
    <row r="409" spans="1:17" ht="15">
      <c r="A409" t="s">
        <v>17</v>
      </c>
      <c r="B409" s="1">
        <v>41807</v>
      </c>
      <c r="C409" t="s">
        <v>908</v>
      </c>
      <c r="D409" t="str">
        <f>CONCATENATE("0130021585","")</f>
        <v>0130021585</v>
      </c>
      <c r="E409" t="str">
        <f>CONCATENATE("0100202000595       ","")</f>
        <v>0100202000595       </v>
      </c>
      <c r="F409" t="str">
        <f>CONCATENATE("1930524","")</f>
        <v>1930524</v>
      </c>
      <c r="G409" t="s">
        <v>911</v>
      </c>
      <c r="H409" t="s">
        <v>922</v>
      </c>
      <c r="I409" t="s">
        <v>923</v>
      </c>
      <c r="J409" t="str">
        <f t="shared" si="63"/>
        <v>081002</v>
      </c>
      <c r="K409" t="s">
        <v>21</v>
      </c>
      <c r="L409" t="s">
        <v>22</v>
      </c>
      <c r="M409" t="str">
        <f t="shared" si="61"/>
        <v>1</v>
      </c>
      <c r="O409" t="str">
        <f t="shared" si="62"/>
        <v>1 </v>
      </c>
      <c r="P409">
        <v>26.35</v>
      </c>
      <c r="Q409" t="s">
        <v>23</v>
      </c>
    </row>
    <row r="410" spans="1:17" ht="15">
      <c r="A410" t="s">
        <v>17</v>
      </c>
      <c r="B410" s="1">
        <v>41807</v>
      </c>
      <c r="C410" t="s">
        <v>908</v>
      </c>
      <c r="D410" t="str">
        <f>CONCATENATE("0130005869","")</f>
        <v>0130005869</v>
      </c>
      <c r="E410" t="str">
        <f>CONCATENATE("0100202000811       ","")</f>
        <v>0100202000811       </v>
      </c>
      <c r="F410" t="str">
        <f>CONCATENATE("605350261","")</f>
        <v>605350261</v>
      </c>
      <c r="G410" t="s">
        <v>909</v>
      </c>
      <c r="H410" t="s">
        <v>924</v>
      </c>
      <c r="I410" t="s">
        <v>925</v>
      </c>
      <c r="J410" t="str">
        <f t="shared" si="63"/>
        <v>081002</v>
      </c>
      <c r="K410" t="s">
        <v>21</v>
      </c>
      <c r="L410" t="s">
        <v>22</v>
      </c>
      <c r="M410" t="str">
        <f t="shared" si="61"/>
        <v>1</v>
      </c>
      <c r="O410" t="str">
        <f t="shared" si="62"/>
        <v>1 </v>
      </c>
      <c r="P410">
        <v>192.65</v>
      </c>
      <c r="Q410" t="s">
        <v>23</v>
      </c>
    </row>
    <row r="411" spans="1:17" ht="15">
      <c r="A411" t="s">
        <v>17</v>
      </c>
      <c r="B411" s="1">
        <v>41807</v>
      </c>
      <c r="C411" t="s">
        <v>908</v>
      </c>
      <c r="D411" t="str">
        <f>CONCATENATE("0130013495","")</f>
        <v>0130013495</v>
      </c>
      <c r="E411" t="str">
        <f>CONCATENATE("0100202001613       ","")</f>
        <v>0100202001613       </v>
      </c>
      <c r="F411" t="str">
        <f>CONCATENATE("606670317","")</f>
        <v>606670317</v>
      </c>
      <c r="G411" t="s">
        <v>911</v>
      </c>
      <c r="H411" t="s">
        <v>926</v>
      </c>
      <c r="I411" t="s">
        <v>395</v>
      </c>
      <c r="J411" t="str">
        <f t="shared" si="63"/>
        <v>081002</v>
      </c>
      <c r="K411" t="s">
        <v>21</v>
      </c>
      <c r="L411" t="s">
        <v>22</v>
      </c>
      <c r="M411" t="str">
        <f t="shared" si="61"/>
        <v>1</v>
      </c>
      <c r="O411" t="str">
        <f t="shared" si="62"/>
        <v>1 </v>
      </c>
      <c r="P411">
        <v>31.95</v>
      </c>
      <c r="Q411" t="s">
        <v>23</v>
      </c>
    </row>
    <row r="412" spans="1:17" ht="15">
      <c r="A412" t="s">
        <v>17</v>
      </c>
      <c r="B412" s="1">
        <v>41807</v>
      </c>
      <c r="C412" t="s">
        <v>908</v>
      </c>
      <c r="D412" t="str">
        <f>CONCATENATE("0040035086","")</f>
        <v>0040035086</v>
      </c>
      <c r="E412" t="str">
        <f>CONCATENATE("0100202001805       ","")</f>
        <v>0100202001805       </v>
      </c>
      <c r="F412" t="str">
        <f>CONCATENATE("606674382","")</f>
        <v>606674382</v>
      </c>
      <c r="G412" t="s">
        <v>909</v>
      </c>
      <c r="H412" t="s">
        <v>927</v>
      </c>
      <c r="I412" t="s">
        <v>928</v>
      </c>
      <c r="J412" t="str">
        <f t="shared" si="63"/>
        <v>081002</v>
      </c>
      <c r="K412" t="s">
        <v>21</v>
      </c>
      <c r="L412" t="s">
        <v>22</v>
      </c>
      <c r="M412" t="str">
        <f t="shared" si="61"/>
        <v>1</v>
      </c>
      <c r="O412" t="str">
        <f t="shared" si="62"/>
        <v>1 </v>
      </c>
      <c r="P412">
        <v>16.45</v>
      </c>
      <c r="Q412" t="s">
        <v>23</v>
      </c>
    </row>
    <row r="413" spans="1:17" ht="15">
      <c r="A413" t="s">
        <v>17</v>
      </c>
      <c r="B413" s="1">
        <v>41807</v>
      </c>
      <c r="C413" t="s">
        <v>908</v>
      </c>
      <c r="D413" t="str">
        <f>CONCATENATE("0130005907","")</f>
        <v>0130005907</v>
      </c>
      <c r="E413" t="str">
        <f>CONCATENATE("0100202001940       ","")</f>
        <v>0100202001940       </v>
      </c>
      <c r="F413" t="str">
        <f>CONCATENATE("605565471","")</f>
        <v>605565471</v>
      </c>
      <c r="G413" t="s">
        <v>909</v>
      </c>
      <c r="H413" t="s">
        <v>929</v>
      </c>
      <c r="I413" t="s">
        <v>930</v>
      </c>
      <c r="J413" t="str">
        <f t="shared" si="63"/>
        <v>081002</v>
      </c>
      <c r="K413" t="s">
        <v>21</v>
      </c>
      <c r="L413" t="s">
        <v>22</v>
      </c>
      <c r="M413" t="str">
        <f t="shared" si="61"/>
        <v>1</v>
      </c>
      <c r="O413" t="str">
        <f t="shared" si="62"/>
        <v>1 </v>
      </c>
      <c r="P413">
        <v>54.25</v>
      </c>
      <c r="Q413" t="s">
        <v>23</v>
      </c>
    </row>
    <row r="414" spans="1:17" ht="15">
      <c r="A414" t="s">
        <v>17</v>
      </c>
      <c r="B414" s="1">
        <v>41807</v>
      </c>
      <c r="C414" t="s">
        <v>908</v>
      </c>
      <c r="D414" t="str">
        <f>CONCATENATE("0040035706","")</f>
        <v>0040035706</v>
      </c>
      <c r="E414" t="str">
        <f>CONCATENATE("0100202002051       ","")</f>
        <v>0100202002051       </v>
      </c>
      <c r="F414" t="str">
        <f>CONCATENATE("606676804","")</f>
        <v>606676804</v>
      </c>
      <c r="G414" t="s">
        <v>909</v>
      </c>
      <c r="H414" t="s">
        <v>931</v>
      </c>
      <c r="I414" t="s">
        <v>932</v>
      </c>
      <c r="J414" t="str">
        <f t="shared" si="63"/>
        <v>081002</v>
      </c>
      <c r="K414" t="s">
        <v>21</v>
      </c>
      <c r="L414" t="s">
        <v>22</v>
      </c>
      <c r="M414" t="str">
        <f t="shared" si="61"/>
        <v>1</v>
      </c>
      <c r="O414" t="str">
        <f t="shared" si="62"/>
        <v>1 </v>
      </c>
      <c r="P414">
        <v>12.95</v>
      </c>
      <c r="Q414" t="s">
        <v>23</v>
      </c>
    </row>
    <row r="415" spans="1:17" ht="15">
      <c r="A415" t="s">
        <v>17</v>
      </c>
      <c r="B415" s="1">
        <v>41807</v>
      </c>
      <c r="C415" t="s">
        <v>908</v>
      </c>
      <c r="D415" t="str">
        <f>CONCATENATE("0130005918","")</f>
        <v>0130005918</v>
      </c>
      <c r="E415" t="str">
        <f>CONCATENATE("0100202002190       ","")</f>
        <v>0100202002190       </v>
      </c>
      <c r="F415" t="str">
        <f>CONCATENATE("605351370","")</f>
        <v>605351370</v>
      </c>
      <c r="G415" t="s">
        <v>909</v>
      </c>
      <c r="H415" t="s">
        <v>933</v>
      </c>
      <c r="I415" t="s">
        <v>389</v>
      </c>
      <c r="J415" t="str">
        <f t="shared" si="63"/>
        <v>081002</v>
      </c>
      <c r="K415" t="s">
        <v>21</v>
      </c>
      <c r="L415" t="s">
        <v>22</v>
      </c>
      <c r="M415" t="str">
        <f t="shared" si="61"/>
        <v>1</v>
      </c>
      <c r="O415" t="str">
        <f t="shared" si="62"/>
        <v>1 </v>
      </c>
      <c r="P415">
        <v>26.3</v>
      </c>
      <c r="Q415" t="s">
        <v>23</v>
      </c>
    </row>
    <row r="416" spans="1:17" ht="15">
      <c r="A416" t="s">
        <v>17</v>
      </c>
      <c r="B416" s="1">
        <v>41807</v>
      </c>
      <c r="C416" t="s">
        <v>908</v>
      </c>
      <c r="D416" t="str">
        <f>CONCATENATE("0130005928","")</f>
        <v>0130005928</v>
      </c>
      <c r="E416" t="str">
        <f>CONCATENATE("0100203000260       ","")</f>
        <v>0100203000260       </v>
      </c>
      <c r="F416" t="str">
        <f>CONCATENATE("605347423","")</f>
        <v>605347423</v>
      </c>
      <c r="G416" t="s">
        <v>934</v>
      </c>
      <c r="H416" t="s">
        <v>935</v>
      </c>
      <c r="I416" t="s">
        <v>936</v>
      </c>
      <c r="J416" t="str">
        <f t="shared" si="63"/>
        <v>081002</v>
      </c>
      <c r="K416" t="s">
        <v>21</v>
      </c>
      <c r="L416" t="s">
        <v>22</v>
      </c>
      <c r="M416" t="str">
        <f t="shared" si="61"/>
        <v>1</v>
      </c>
      <c r="O416" t="str">
        <f t="shared" si="62"/>
        <v>1 </v>
      </c>
      <c r="P416">
        <v>16.5</v>
      </c>
      <c r="Q416" t="s">
        <v>23</v>
      </c>
    </row>
    <row r="417" spans="1:17" ht="15">
      <c r="A417" t="s">
        <v>17</v>
      </c>
      <c r="B417" s="1">
        <v>41807</v>
      </c>
      <c r="C417" t="s">
        <v>908</v>
      </c>
      <c r="D417" t="str">
        <f>CONCATENATE("0130021153","")</f>
        <v>0130021153</v>
      </c>
      <c r="E417" t="str">
        <f>CONCATENATE("0100203010010       ","")</f>
        <v>0100203010010       </v>
      </c>
      <c r="F417" t="str">
        <f>CONCATENATE("605857931","")</f>
        <v>605857931</v>
      </c>
      <c r="G417" t="s">
        <v>934</v>
      </c>
      <c r="H417" t="s">
        <v>937</v>
      </c>
      <c r="I417" t="s">
        <v>938</v>
      </c>
      <c r="J417" t="str">
        <f t="shared" si="63"/>
        <v>081002</v>
      </c>
      <c r="K417" t="s">
        <v>21</v>
      </c>
      <c r="L417" t="s">
        <v>22</v>
      </c>
      <c r="M417" t="str">
        <f t="shared" si="61"/>
        <v>1</v>
      </c>
      <c r="O417" t="str">
        <f>CONCATENATE("2 ","")</f>
        <v>2 </v>
      </c>
      <c r="P417">
        <v>70.05</v>
      </c>
      <c r="Q417" t="s">
        <v>23</v>
      </c>
    </row>
    <row r="418" spans="1:17" ht="15">
      <c r="A418" t="s">
        <v>17</v>
      </c>
      <c r="B418" s="1">
        <v>41807</v>
      </c>
      <c r="C418" t="s">
        <v>908</v>
      </c>
      <c r="D418" t="str">
        <f>CONCATENATE("0130012796","")</f>
        <v>0130012796</v>
      </c>
      <c r="E418" t="str">
        <f>CONCATENATE("0100204000120       ","")</f>
        <v>0100204000120       </v>
      </c>
      <c r="F418" t="str">
        <f>CONCATENATE("00002754948","")</f>
        <v>00002754948</v>
      </c>
      <c r="G418" t="s">
        <v>939</v>
      </c>
      <c r="H418" t="s">
        <v>940</v>
      </c>
      <c r="I418" t="s">
        <v>941</v>
      </c>
      <c r="J418" t="str">
        <f t="shared" si="63"/>
        <v>081002</v>
      </c>
      <c r="K418" t="s">
        <v>21</v>
      </c>
      <c r="L418" t="s">
        <v>22</v>
      </c>
      <c r="M418" t="str">
        <f t="shared" si="61"/>
        <v>1</v>
      </c>
      <c r="O418" t="str">
        <f aca="true" t="shared" si="64" ref="O418:O427">CONCATENATE("1 ","")</f>
        <v>1 </v>
      </c>
      <c r="P418">
        <v>16.2</v>
      </c>
      <c r="Q418" t="s">
        <v>23</v>
      </c>
    </row>
    <row r="419" spans="1:17" ht="15">
      <c r="A419" t="s">
        <v>17</v>
      </c>
      <c r="B419" s="1">
        <v>41807</v>
      </c>
      <c r="C419" t="s">
        <v>908</v>
      </c>
      <c r="D419" t="str">
        <f>CONCATENATE("0040035702","")</f>
        <v>0040035702</v>
      </c>
      <c r="E419" t="str">
        <f>CONCATENATE("0100204000333       ","")</f>
        <v>0100204000333       </v>
      </c>
      <c r="F419" t="str">
        <f>CONCATENATE("606676806","")</f>
        <v>606676806</v>
      </c>
      <c r="G419" t="s">
        <v>939</v>
      </c>
      <c r="H419" t="s">
        <v>942</v>
      </c>
      <c r="I419" t="s">
        <v>943</v>
      </c>
      <c r="J419" t="str">
        <f t="shared" si="63"/>
        <v>081002</v>
      </c>
      <c r="K419" t="s">
        <v>21</v>
      </c>
      <c r="L419" t="s">
        <v>22</v>
      </c>
      <c r="M419" t="str">
        <f t="shared" si="61"/>
        <v>1</v>
      </c>
      <c r="O419" t="str">
        <f t="shared" si="64"/>
        <v>1 </v>
      </c>
      <c r="P419">
        <v>11.35</v>
      </c>
      <c r="Q419" t="s">
        <v>23</v>
      </c>
    </row>
    <row r="420" spans="1:17" ht="15">
      <c r="A420" t="s">
        <v>17</v>
      </c>
      <c r="B420" s="1">
        <v>41807</v>
      </c>
      <c r="C420" t="s">
        <v>908</v>
      </c>
      <c r="D420" t="str">
        <f>CONCATENATE("0130013531","")</f>
        <v>0130013531</v>
      </c>
      <c r="E420" t="str">
        <f>CONCATENATE("0100204000335       ","")</f>
        <v>0100204000335       </v>
      </c>
      <c r="F420" t="str">
        <f>CONCATENATE("606664275","")</f>
        <v>606664275</v>
      </c>
      <c r="G420" t="s">
        <v>939</v>
      </c>
      <c r="H420" t="s">
        <v>944</v>
      </c>
      <c r="I420" t="s">
        <v>945</v>
      </c>
      <c r="J420" t="str">
        <f t="shared" si="63"/>
        <v>081002</v>
      </c>
      <c r="K420" t="s">
        <v>21</v>
      </c>
      <c r="L420" t="s">
        <v>22</v>
      </c>
      <c r="M420" t="str">
        <f t="shared" si="61"/>
        <v>1</v>
      </c>
      <c r="O420" t="str">
        <f t="shared" si="64"/>
        <v>1 </v>
      </c>
      <c r="P420">
        <v>19.25</v>
      </c>
      <c r="Q420" t="s">
        <v>23</v>
      </c>
    </row>
    <row r="421" spans="1:17" ht="15">
      <c r="A421" t="s">
        <v>17</v>
      </c>
      <c r="B421" s="1">
        <v>41807</v>
      </c>
      <c r="C421" t="s">
        <v>35</v>
      </c>
      <c r="D421" t="str">
        <f>CONCATENATE("0130008792","")</f>
        <v>0130008792</v>
      </c>
      <c r="E421" t="str">
        <f>CONCATENATE("0100205000060       ","")</f>
        <v>0100205000060       </v>
      </c>
      <c r="F421" t="str">
        <f>CONCATENATE("7295824","")</f>
        <v>7295824</v>
      </c>
      <c r="G421" t="s">
        <v>946</v>
      </c>
      <c r="H421" t="s">
        <v>947</v>
      </c>
      <c r="I421" t="s">
        <v>948</v>
      </c>
      <c r="J421" t="str">
        <f>CONCATENATE("080203","")</f>
        <v>080203</v>
      </c>
      <c r="K421" t="s">
        <v>21</v>
      </c>
      <c r="L421" t="s">
        <v>22</v>
      </c>
      <c r="M421" t="str">
        <f t="shared" si="61"/>
        <v>1</v>
      </c>
      <c r="O421" t="str">
        <f t="shared" si="64"/>
        <v>1 </v>
      </c>
      <c r="P421">
        <v>15.45</v>
      </c>
      <c r="Q421" t="s">
        <v>23</v>
      </c>
    </row>
    <row r="422" spans="1:17" ht="15">
      <c r="A422" t="s">
        <v>17</v>
      </c>
      <c r="B422" s="1">
        <v>41807</v>
      </c>
      <c r="C422" t="s">
        <v>35</v>
      </c>
      <c r="D422" t="str">
        <f>CONCATENATE("0130008903","")</f>
        <v>0130008903</v>
      </c>
      <c r="E422" t="str">
        <f>CONCATENATE("0100205000145       ","")</f>
        <v>0100205000145       </v>
      </c>
      <c r="F422" t="str">
        <f>CONCATENATE("7299692","")</f>
        <v>7299692</v>
      </c>
      <c r="G422" t="s">
        <v>946</v>
      </c>
      <c r="H422" t="s">
        <v>949</v>
      </c>
      <c r="I422" t="s">
        <v>950</v>
      </c>
      <c r="J422" t="str">
        <f>CONCATENATE("080203","")</f>
        <v>080203</v>
      </c>
      <c r="K422" t="s">
        <v>21</v>
      </c>
      <c r="L422" t="s">
        <v>22</v>
      </c>
      <c r="M422" t="str">
        <f t="shared" si="61"/>
        <v>1</v>
      </c>
      <c r="O422" t="str">
        <f t="shared" si="64"/>
        <v>1 </v>
      </c>
      <c r="P422">
        <v>22.1</v>
      </c>
      <c r="Q422" t="s">
        <v>23</v>
      </c>
    </row>
    <row r="423" spans="1:17" ht="15">
      <c r="A423" t="s">
        <v>17</v>
      </c>
      <c r="B423" s="1">
        <v>41807</v>
      </c>
      <c r="C423" t="s">
        <v>908</v>
      </c>
      <c r="D423" t="str">
        <f>CONCATENATE("0130015219","")</f>
        <v>0130015219</v>
      </c>
      <c r="E423" t="str">
        <f>CONCATENATE("0100210020150       ","")</f>
        <v>0100210020150       </v>
      </c>
      <c r="F423" t="str">
        <f>CONCATENATE("1435492","")</f>
        <v>1435492</v>
      </c>
      <c r="G423" t="s">
        <v>951</v>
      </c>
      <c r="H423" t="s">
        <v>952</v>
      </c>
      <c r="I423" t="s">
        <v>953</v>
      </c>
      <c r="J423" t="str">
        <f aca="true" t="shared" si="65" ref="J423:J431">CONCATENATE("081002","")</f>
        <v>081002</v>
      </c>
      <c r="K423" t="s">
        <v>21</v>
      </c>
      <c r="L423" t="s">
        <v>22</v>
      </c>
      <c r="M423" t="str">
        <f t="shared" si="61"/>
        <v>1</v>
      </c>
      <c r="O423" t="str">
        <f t="shared" si="64"/>
        <v>1 </v>
      </c>
      <c r="P423">
        <v>21.95</v>
      </c>
      <c r="Q423" t="s">
        <v>23</v>
      </c>
    </row>
    <row r="424" spans="1:17" ht="15">
      <c r="A424" t="s">
        <v>17</v>
      </c>
      <c r="B424" s="1">
        <v>41807</v>
      </c>
      <c r="C424" t="s">
        <v>908</v>
      </c>
      <c r="D424" t="str">
        <f>CONCATENATE("0130015314","")</f>
        <v>0130015314</v>
      </c>
      <c r="E424" t="str">
        <f>CONCATENATE("0100216010310       ","")</f>
        <v>0100216010310       </v>
      </c>
      <c r="F424" t="str">
        <f>CONCATENATE("1431629","")</f>
        <v>1431629</v>
      </c>
      <c r="G424" t="s">
        <v>954</v>
      </c>
      <c r="H424" t="s">
        <v>955</v>
      </c>
      <c r="I424" t="s">
        <v>956</v>
      </c>
      <c r="J424" t="str">
        <f t="shared" si="65"/>
        <v>081002</v>
      </c>
      <c r="K424" t="s">
        <v>21</v>
      </c>
      <c r="L424" t="s">
        <v>22</v>
      </c>
      <c r="M424" t="str">
        <f t="shared" si="61"/>
        <v>1</v>
      </c>
      <c r="O424" t="str">
        <f t="shared" si="64"/>
        <v>1 </v>
      </c>
      <c r="P424">
        <v>10.9</v>
      </c>
      <c r="Q424" t="s">
        <v>23</v>
      </c>
    </row>
    <row r="425" spans="1:17" ht="15">
      <c r="A425" t="s">
        <v>17</v>
      </c>
      <c r="B425" s="1">
        <v>41807</v>
      </c>
      <c r="C425" t="s">
        <v>908</v>
      </c>
      <c r="D425" t="str">
        <f>CONCATENATE("0130021154","")</f>
        <v>0130021154</v>
      </c>
      <c r="E425" t="str">
        <f>CONCATENATE("0100222000010       ","")</f>
        <v>0100222000010       </v>
      </c>
      <c r="F425" t="str">
        <f>CONCATENATE("605857938","")</f>
        <v>605857938</v>
      </c>
      <c r="G425" t="s">
        <v>959</v>
      </c>
      <c r="H425" t="s">
        <v>957</v>
      </c>
      <c r="I425" t="s">
        <v>958</v>
      </c>
      <c r="J425" t="str">
        <f t="shared" si="65"/>
        <v>081002</v>
      </c>
      <c r="K425" t="s">
        <v>21</v>
      </c>
      <c r="L425" t="s">
        <v>22</v>
      </c>
      <c r="M425" t="str">
        <f t="shared" si="61"/>
        <v>1</v>
      </c>
      <c r="O425" t="str">
        <f t="shared" si="64"/>
        <v>1 </v>
      </c>
      <c r="P425">
        <v>11.65</v>
      </c>
      <c r="Q425" t="s">
        <v>23</v>
      </c>
    </row>
    <row r="426" spans="1:17" ht="15">
      <c r="A426" t="s">
        <v>17</v>
      </c>
      <c r="B426" s="1">
        <v>41807</v>
      </c>
      <c r="C426" t="s">
        <v>908</v>
      </c>
      <c r="D426" t="str">
        <f>CONCATENATE("0130018837","")</f>
        <v>0130018837</v>
      </c>
      <c r="E426" t="str">
        <f>CONCATENATE("0100250001080       ","")</f>
        <v>0100250001080       </v>
      </c>
      <c r="F426" t="str">
        <f>CONCATENATE("90500261","")</f>
        <v>90500261</v>
      </c>
      <c r="G426" t="s">
        <v>959</v>
      </c>
      <c r="H426" t="s">
        <v>960</v>
      </c>
      <c r="I426" t="s">
        <v>961</v>
      </c>
      <c r="J426" t="str">
        <f t="shared" si="65"/>
        <v>081002</v>
      </c>
      <c r="K426" t="s">
        <v>21</v>
      </c>
      <c r="L426" t="s">
        <v>22</v>
      </c>
      <c r="M426" t="str">
        <f t="shared" si="61"/>
        <v>1</v>
      </c>
      <c r="O426" t="str">
        <f t="shared" si="64"/>
        <v>1 </v>
      </c>
      <c r="P426">
        <v>20.7</v>
      </c>
      <c r="Q426" t="s">
        <v>23</v>
      </c>
    </row>
    <row r="427" spans="1:17" ht="15">
      <c r="A427" t="s">
        <v>17</v>
      </c>
      <c r="B427" s="1">
        <v>41807</v>
      </c>
      <c r="C427" t="s">
        <v>908</v>
      </c>
      <c r="D427" t="str">
        <f>CONCATENATE("0130017521","")</f>
        <v>0130017521</v>
      </c>
      <c r="E427" t="str">
        <f>CONCATENATE("0100255000103       ","")</f>
        <v>0100255000103       </v>
      </c>
      <c r="F427" t="str">
        <f>CONCATENATE("90500685","")</f>
        <v>90500685</v>
      </c>
      <c r="G427" t="s">
        <v>962</v>
      </c>
      <c r="H427" t="s">
        <v>963</v>
      </c>
      <c r="I427" t="s">
        <v>964</v>
      </c>
      <c r="J427" t="str">
        <f t="shared" si="65"/>
        <v>081002</v>
      </c>
      <c r="K427" t="s">
        <v>21</v>
      </c>
      <c r="L427" t="s">
        <v>22</v>
      </c>
      <c r="M427" t="str">
        <f t="shared" si="61"/>
        <v>1</v>
      </c>
      <c r="O427" t="str">
        <f t="shared" si="64"/>
        <v>1 </v>
      </c>
      <c r="P427">
        <v>14.4</v>
      </c>
      <c r="Q427" t="s">
        <v>23</v>
      </c>
    </row>
    <row r="428" spans="1:17" ht="15">
      <c r="A428" t="s">
        <v>17</v>
      </c>
      <c r="B428" s="1">
        <v>41807</v>
      </c>
      <c r="C428" t="s">
        <v>908</v>
      </c>
      <c r="D428" t="str">
        <f>CONCATENATE("0130017537","")</f>
        <v>0130017537</v>
      </c>
      <c r="E428" t="str">
        <f>CONCATENATE("0100255000211       ","")</f>
        <v>0100255000211       </v>
      </c>
      <c r="F428" t="str">
        <f>CONCATENATE("90500688","")</f>
        <v>90500688</v>
      </c>
      <c r="G428" t="s">
        <v>962</v>
      </c>
      <c r="H428" t="s">
        <v>965</v>
      </c>
      <c r="I428" t="s">
        <v>964</v>
      </c>
      <c r="J428" t="str">
        <f t="shared" si="65"/>
        <v>081002</v>
      </c>
      <c r="K428" t="s">
        <v>21</v>
      </c>
      <c r="L428" t="s">
        <v>22</v>
      </c>
      <c r="M428" t="str">
        <f t="shared" si="61"/>
        <v>1</v>
      </c>
      <c r="O428" t="str">
        <f>CONCATENATE("2 ","")</f>
        <v>2 </v>
      </c>
      <c r="P428">
        <v>20.8</v>
      </c>
      <c r="Q428" t="s">
        <v>23</v>
      </c>
    </row>
    <row r="429" spans="1:17" ht="15">
      <c r="A429" t="s">
        <v>17</v>
      </c>
      <c r="B429" s="1">
        <v>41807</v>
      </c>
      <c r="C429" t="s">
        <v>908</v>
      </c>
      <c r="D429" t="str">
        <f>CONCATENATE("0130017541","")</f>
        <v>0130017541</v>
      </c>
      <c r="E429" t="str">
        <f>CONCATENATE("0100255000216       ","")</f>
        <v>0100255000216       </v>
      </c>
      <c r="F429" t="str">
        <f>CONCATENATE("90601825","")</f>
        <v>90601825</v>
      </c>
      <c r="G429" t="s">
        <v>962</v>
      </c>
      <c r="H429" t="s">
        <v>966</v>
      </c>
      <c r="I429" t="s">
        <v>964</v>
      </c>
      <c r="J429" t="str">
        <f t="shared" si="65"/>
        <v>081002</v>
      </c>
      <c r="K429" t="s">
        <v>21</v>
      </c>
      <c r="L429" t="s">
        <v>22</v>
      </c>
      <c r="M429" t="str">
        <f t="shared" si="61"/>
        <v>1</v>
      </c>
      <c r="O429" t="str">
        <f aca="true" t="shared" si="66" ref="O429:O458">CONCATENATE("1 ","")</f>
        <v>1 </v>
      </c>
      <c r="P429">
        <v>12.95</v>
      </c>
      <c r="Q429" t="s">
        <v>23</v>
      </c>
    </row>
    <row r="430" spans="1:17" ht="15">
      <c r="A430" t="s">
        <v>17</v>
      </c>
      <c r="B430" s="1">
        <v>41807</v>
      </c>
      <c r="C430" t="s">
        <v>908</v>
      </c>
      <c r="D430" t="str">
        <f>CONCATENATE("0130017554","")</f>
        <v>0130017554</v>
      </c>
      <c r="E430" t="str">
        <f>CONCATENATE("0100265000102       ","")</f>
        <v>0100265000102       </v>
      </c>
      <c r="F430" t="str">
        <f>CONCATENATE("90601777","")</f>
        <v>90601777</v>
      </c>
      <c r="G430" t="s">
        <v>967</v>
      </c>
      <c r="H430" t="s">
        <v>968</v>
      </c>
      <c r="I430" t="s">
        <v>969</v>
      </c>
      <c r="J430" t="str">
        <f t="shared" si="65"/>
        <v>081002</v>
      </c>
      <c r="K430" t="s">
        <v>21</v>
      </c>
      <c r="L430" t="s">
        <v>22</v>
      </c>
      <c r="M430" t="str">
        <f t="shared" si="61"/>
        <v>1</v>
      </c>
      <c r="O430" t="str">
        <f t="shared" si="66"/>
        <v>1 </v>
      </c>
      <c r="P430">
        <v>13</v>
      </c>
      <c r="Q430" t="s">
        <v>23</v>
      </c>
    </row>
    <row r="431" spans="1:17" ht="15">
      <c r="A431" t="s">
        <v>17</v>
      </c>
      <c r="B431" s="1">
        <v>41807</v>
      </c>
      <c r="C431" t="s">
        <v>908</v>
      </c>
      <c r="D431" t="str">
        <f>CONCATENATE("0130017553","")</f>
        <v>0130017553</v>
      </c>
      <c r="E431" t="str">
        <f>CONCATENATE("0100265000109       ","")</f>
        <v>0100265000109       </v>
      </c>
      <c r="F431" t="str">
        <f>CONCATENATE("90601766","")</f>
        <v>90601766</v>
      </c>
      <c r="G431" t="s">
        <v>967</v>
      </c>
      <c r="H431" t="s">
        <v>970</v>
      </c>
      <c r="I431" t="s">
        <v>969</v>
      </c>
      <c r="J431" t="str">
        <f t="shared" si="65"/>
        <v>081002</v>
      </c>
      <c r="K431" t="s">
        <v>21</v>
      </c>
      <c r="L431" t="s">
        <v>22</v>
      </c>
      <c r="M431" t="str">
        <f t="shared" si="61"/>
        <v>1</v>
      </c>
      <c r="O431" t="str">
        <f t="shared" si="66"/>
        <v>1 </v>
      </c>
      <c r="P431">
        <v>17.9</v>
      </c>
      <c r="Q431" t="s">
        <v>23</v>
      </c>
    </row>
    <row r="432" spans="1:17" ht="15">
      <c r="A432" t="s">
        <v>17</v>
      </c>
      <c r="B432" s="1">
        <v>41807</v>
      </c>
      <c r="C432" t="s">
        <v>903</v>
      </c>
      <c r="D432" t="str">
        <f>CONCATENATE("0130011486","")</f>
        <v>0130011486</v>
      </c>
      <c r="E432" t="str">
        <f>CONCATENATE("0100801000025       ","")</f>
        <v>0100801000025       </v>
      </c>
      <c r="F432" t="str">
        <f>CONCATENATE("1600246","")</f>
        <v>1600246</v>
      </c>
      <c r="G432" t="s">
        <v>971</v>
      </c>
      <c r="H432" t="s">
        <v>972</v>
      </c>
      <c r="I432" t="s">
        <v>973</v>
      </c>
      <c r="J432" t="str">
        <f aca="true" t="shared" si="67" ref="J432:J461">CONCATENATE("081008","")</f>
        <v>081008</v>
      </c>
      <c r="K432" t="s">
        <v>21</v>
      </c>
      <c r="L432" t="s">
        <v>22</v>
      </c>
      <c r="M432" t="str">
        <f t="shared" si="61"/>
        <v>1</v>
      </c>
      <c r="O432" t="str">
        <f t="shared" si="66"/>
        <v>1 </v>
      </c>
      <c r="P432">
        <v>20.45</v>
      </c>
      <c r="Q432" t="s">
        <v>23</v>
      </c>
    </row>
    <row r="433" spans="1:17" ht="15">
      <c r="A433" t="s">
        <v>17</v>
      </c>
      <c r="B433" s="1">
        <v>41807</v>
      </c>
      <c r="C433" t="s">
        <v>903</v>
      </c>
      <c r="D433" t="str">
        <f>CONCATENATE("0130006041","")</f>
        <v>0130006041</v>
      </c>
      <c r="E433" t="str">
        <f>CONCATENATE("0100801000055       ","")</f>
        <v>0100801000055       </v>
      </c>
      <c r="F433" t="str">
        <f>CONCATENATE("605083305","")</f>
        <v>605083305</v>
      </c>
      <c r="G433" t="s">
        <v>971</v>
      </c>
      <c r="H433" t="s">
        <v>974</v>
      </c>
      <c r="I433" t="s">
        <v>975</v>
      </c>
      <c r="J433" t="str">
        <f t="shared" si="67"/>
        <v>081008</v>
      </c>
      <c r="K433" t="s">
        <v>21</v>
      </c>
      <c r="L433" t="s">
        <v>22</v>
      </c>
      <c r="M433" t="str">
        <f t="shared" si="61"/>
        <v>1</v>
      </c>
      <c r="O433" t="str">
        <f t="shared" si="66"/>
        <v>1 </v>
      </c>
      <c r="P433">
        <v>48.85</v>
      </c>
      <c r="Q433" t="s">
        <v>23</v>
      </c>
    </row>
    <row r="434" spans="1:17" ht="15">
      <c r="A434" t="s">
        <v>17</v>
      </c>
      <c r="B434" s="1">
        <v>41807</v>
      </c>
      <c r="C434" t="s">
        <v>903</v>
      </c>
      <c r="D434" t="str">
        <f>CONCATENATE("0130008942","")</f>
        <v>0130008942</v>
      </c>
      <c r="E434" t="str">
        <f>CONCATENATE("0100801000136       ","")</f>
        <v>0100801000136       </v>
      </c>
      <c r="F434" t="str">
        <f>CONCATENATE("605083290","")</f>
        <v>605083290</v>
      </c>
      <c r="G434" t="s">
        <v>976</v>
      </c>
      <c r="H434" t="s">
        <v>977</v>
      </c>
      <c r="I434" t="s">
        <v>978</v>
      </c>
      <c r="J434" t="str">
        <f t="shared" si="67"/>
        <v>081008</v>
      </c>
      <c r="K434" t="s">
        <v>21</v>
      </c>
      <c r="L434" t="s">
        <v>22</v>
      </c>
      <c r="M434" t="str">
        <f t="shared" si="61"/>
        <v>1</v>
      </c>
      <c r="O434" t="str">
        <f t="shared" si="66"/>
        <v>1 </v>
      </c>
      <c r="P434">
        <v>485.15</v>
      </c>
      <c r="Q434" t="s">
        <v>23</v>
      </c>
    </row>
    <row r="435" spans="1:17" ht="15">
      <c r="A435" t="s">
        <v>17</v>
      </c>
      <c r="B435" s="1">
        <v>41807</v>
      </c>
      <c r="C435" t="s">
        <v>903</v>
      </c>
      <c r="D435" t="str">
        <f>CONCATENATE("0040027307","")</f>
        <v>0040027307</v>
      </c>
      <c r="E435" t="str">
        <f>CONCATENATE("0100801000149       ","")</f>
        <v>0100801000149       </v>
      </c>
      <c r="F435" t="str">
        <f>CONCATENATE("507009343","")</f>
        <v>507009343</v>
      </c>
      <c r="G435" t="s">
        <v>976</v>
      </c>
      <c r="H435" t="s">
        <v>979</v>
      </c>
      <c r="I435" t="s">
        <v>980</v>
      </c>
      <c r="J435" t="str">
        <f t="shared" si="67"/>
        <v>081008</v>
      </c>
      <c r="K435" t="s">
        <v>21</v>
      </c>
      <c r="L435" t="s">
        <v>22</v>
      </c>
      <c r="M435" t="str">
        <f>CONCATENATE("3","")</f>
        <v>3</v>
      </c>
      <c r="O435" t="str">
        <f t="shared" si="66"/>
        <v>1 </v>
      </c>
      <c r="P435">
        <v>2161.5</v>
      </c>
      <c r="Q435" t="s">
        <v>68</v>
      </c>
    </row>
    <row r="436" spans="1:17" ht="15">
      <c r="A436" t="s">
        <v>17</v>
      </c>
      <c r="B436" s="1">
        <v>41807</v>
      </c>
      <c r="C436" t="s">
        <v>903</v>
      </c>
      <c r="D436" t="str">
        <f>CONCATENATE("0130006052","")</f>
        <v>0130006052</v>
      </c>
      <c r="E436" t="str">
        <f>CONCATENATE("0100801000182       ","")</f>
        <v>0100801000182       </v>
      </c>
      <c r="F436" t="str">
        <f>CONCATENATE("605350536","")</f>
        <v>605350536</v>
      </c>
      <c r="G436" t="s">
        <v>971</v>
      </c>
      <c r="H436" t="s">
        <v>981</v>
      </c>
      <c r="I436" t="s">
        <v>975</v>
      </c>
      <c r="J436" t="str">
        <f t="shared" si="67"/>
        <v>081008</v>
      </c>
      <c r="K436" t="s">
        <v>21</v>
      </c>
      <c r="L436" t="s">
        <v>22</v>
      </c>
      <c r="M436" t="str">
        <f aca="true" t="shared" si="68" ref="M436:M467">CONCATENATE("1","")</f>
        <v>1</v>
      </c>
      <c r="O436" t="str">
        <f t="shared" si="66"/>
        <v>1 </v>
      </c>
      <c r="P436">
        <v>16.9</v>
      </c>
      <c r="Q436" t="s">
        <v>23</v>
      </c>
    </row>
    <row r="437" spans="1:17" ht="15">
      <c r="A437" t="s">
        <v>17</v>
      </c>
      <c r="B437" s="1">
        <v>41807</v>
      </c>
      <c r="C437" t="s">
        <v>903</v>
      </c>
      <c r="D437" t="str">
        <f>CONCATENATE("0130008533","")</f>
        <v>0130008533</v>
      </c>
      <c r="E437" t="str">
        <f>CONCATENATE("0100801000234       ","")</f>
        <v>0100801000234       </v>
      </c>
      <c r="F437" t="str">
        <f>CONCATENATE("605740716","")</f>
        <v>605740716</v>
      </c>
      <c r="G437" t="s">
        <v>971</v>
      </c>
      <c r="H437" t="s">
        <v>982</v>
      </c>
      <c r="I437" t="s">
        <v>903</v>
      </c>
      <c r="J437" t="str">
        <f t="shared" si="67"/>
        <v>081008</v>
      </c>
      <c r="K437" t="s">
        <v>21</v>
      </c>
      <c r="L437" t="s">
        <v>22</v>
      </c>
      <c r="M437" t="str">
        <f t="shared" si="68"/>
        <v>1</v>
      </c>
      <c r="O437" t="str">
        <f t="shared" si="66"/>
        <v>1 </v>
      </c>
      <c r="P437">
        <v>22.85</v>
      </c>
      <c r="Q437" t="s">
        <v>23</v>
      </c>
    </row>
    <row r="438" spans="1:17" ht="15">
      <c r="A438" t="s">
        <v>17</v>
      </c>
      <c r="B438" s="1">
        <v>41807</v>
      </c>
      <c r="C438" t="s">
        <v>903</v>
      </c>
      <c r="D438" t="str">
        <f>CONCATENATE("0130006059","")</f>
        <v>0130006059</v>
      </c>
      <c r="E438" t="str">
        <f>CONCATENATE("0100801000300       ","")</f>
        <v>0100801000300       </v>
      </c>
      <c r="F438" t="str">
        <f>CONCATENATE("605115122","")</f>
        <v>605115122</v>
      </c>
      <c r="G438" t="s">
        <v>971</v>
      </c>
      <c r="H438" t="s">
        <v>983</v>
      </c>
      <c r="I438" t="s">
        <v>263</v>
      </c>
      <c r="J438" t="str">
        <f t="shared" si="67"/>
        <v>081008</v>
      </c>
      <c r="K438" t="s">
        <v>21</v>
      </c>
      <c r="L438" t="s">
        <v>22</v>
      </c>
      <c r="M438" t="str">
        <f t="shared" si="68"/>
        <v>1</v>
      </c>
      <c r="O438" t="str">
        <f t="shared" si="66"/>
        <v>1 </v>
      </c>
      <c r="P438">
        <v>20.45</v>
      </c>
      <c r="Q438" t="s">
        <v>23</v>
      </c>
    </row>
    <row r="439" spans="1:17" ht="15">
      <c r="A439" t="s">
        <v>17</v>
      </c>
      <c r="B439" s="1">
        <v>41807</v>
      </c>
      <c r="C439" t="s">
        <v>903</v>
      </c>
      <c r="D439" t="str">
        <f>CONCATENATE("0130006061","")</f>
        <v>0130006061</v>
      </c>
      <c r="E439" t="str">
        <f>CONCATENATE("0100801000330       ","")</f>
        <v>0100801000330       </v>
      </c>
      <c r="F439" t="str">
        <f>CONCATENATE("605115137","")</f>
        <v>605115137</v>
      </c>
      <c r="G439" t="s">
        <v>971</v>
      </c>
      <c r="H439" t="s">
        <v>984</v>
      </c>
      <c r="I439" t="s">
        <v>263</v>
      </c>
      <c r="J439" t="str">
        <f t="shared" si="67"/>
        <v>081008</v>
      </c>
      <c r="K439" t="s">
        <v>21</v>
      </c>
      <c r="L439" t="s">
        <v>22</v>
      </c>
      <c r="M439" t="str">
        <f t="shared" si="68"/>
        <v>1</v>
      </c>
      <c r="O439" t="str">
        <f t="shared" si="66"/>
        <v>1 </v>
      </c>
      <c r="P439">
        <v>21.2</v>
      </c>
      <c r="Q439" t="s">
        <v>23</v>
      </c>
    </row>
    <row r="440" spans="1:17" ht="15">
      <c r="A440" t="s">
        <v>17</v>
      </c>
      <c r="B440" s="1">
        <v>41807</v>
      </c>
      <c r="C440" t="s">
        <v>903</v>
      </c>
      <c r="D440" t="str">
        <f>CONCATENATE("0130012985","")</f>
        <v>0130012985</v>
      </c>
      <c r="E440" t="str">
        <f>CONCATENATE("0100801000385       ","")</f>
        <v>0100801000385       </v>
      </c>
      <c r="F440" t="str">
        <f>CONCATENATE("606603195","")</f>
        <v>606603195</v>
      </c>
      <c r="G440" t="s">
        <v>971</v>
      </c>
      <c r="H440" t="s">
        <v>985</v>
      </c>
      <c r="I440" t="s">
        <v>986</v>
      </c>
      <c r="J440" t="str">
        <f t="shared" si="67"/>
        <v>081008</v>
      </c>
      <c r="K440" t="s">
        <v>21</v>
      </c>
      <c r="L440" t="s">
        <v>22</v>
      </c>
      <c r="M440" t="str">
        <f t="shared" si="68"/>
        <v>1</v>
      </c>
      <c r="O440" t="str">
        <f t="shared" si="66"/>
        <v>1 </v>
      </c>
      <c r="P440">
        <v>12.2</v>
      </c>
      <c r="Q440" t="s">
        <v>23</v>
      </c>
    </row>
    <row r="441" spans="1:17" ht="15">
      <c r="A441" t="s">
        <v>17</v>
      </c>
      <c r="B441" s="1">
        <v>41807</v>
      </c>
      <c r="C441" t="s">
        <v>903</v>
      </c>
      <c r="D441" t="str">
        <f>CONCATENATE("0130012106","")</f>
        <v>0130012106</v>
      </c>
      <c r="E441" t="str">
        <f>CONCATENATE("0100801000410       ","")</f>
        <v>0100801000410       </v>
      </c>
      <c r="F441" t="str">
        <f>CONCATENATE("00000290422","")</f>
        <v>00000290422</v>
      </c>
      <c r="G441" t="s">
        <v>971</v>
      </c>
      <c r="H441" t="s">
        <v>987</v>
      </c>
      <c r="I441" t="s">
        <v>988</v>
      </c>
      <c r="J441" t="str">
        <f t="shared" si="67"/>
        <v>081008</v>
      </c>
      <c r="K441" t="s">
        <v>21</v>
      </c>
      <c r="L441" t="s">
        <v>22</v>
      </c>
      <c r="M441" t="str">
        <f t="shared" si="68"/>
        <v>1</v>
      </c>
      <c r="O441" t="str">
        <f t="shared" si="66"/>
        <v>1 </v>
      </c>
      <c r="P441">
        <v>19.75</v>
      </c>
      <c r="Q441" t="s">
        <v>23</v>
      </c>
    </row>
    <row r="442" spans="1:17" ht="15">
      <c r="A442" t="s">
        <v>17</v>
      </c>
      <c r="B442" s="1">
        <v>41807</v>
      </c>
      <c r="C442" t="s">
        <v>903</v>
      </c>
      <c r="D442" t="str">
        <f>CONCATENATE("0130006072","")</f>
        <v>0130006072</v>
      </c>
      <c r="E442" t="str">
        <f>CONCATENATE("0100801000420       ","")</f>
        <v>0100801000420       </v>
      </c>
      <c r="F442" t="str">
        <f>CONCATENATE("605348857","")</f>
        <v>605348857</v>
      </c>
      <c r="G442" t="s">
        <v>971</v>
      </c>
      <c r="H442" t="s">
        <v>989</v>
      </c>
      <c r="I442" t="s">
        <v>990</v>
      </c>
      <c r="J442" t="str">
        <f t="shared" si="67"/>
        <v>081008</v>
      </c>
      <c r="K442" t="s">
        <v>21</v>
      </c>
      <c r="L442" t="s">
        <v>22</v>
      </c>
      <c r="M442" t="str">
        <f t="shared" si="68"/>
        <v>1</v>
      </c>
      <c r="O442" t="str">
        <f t="shared" si="66"/>
        <v>1 </v>
      </c>
      <c r="P442">
        <v>13.3</v>
      </c>
      <c r="Q442" t="s">
        <v>23</v>
      </c>
    </row>
    <row r="443" spans="1:17" ht="15">
      <c r="A443" t="s">
        <v>17</v>
      </c>
      <c r="B443" s="1">
        <v>41807</v>
      </c>
      <c r="C443" t="s">
        <v>903</v>
      </c>
      <c r="D443" t="str">
        <f>CONCATENATE("0130014097","")</f>
        <v>0130014097</v>
      </c>
      <c r="E443" t="str">
        <f>CONCATENATE("0100801000430       ","")</f>
        <v>0100801000430       </v>
      </c>
      <c r="F443" t="str">
        <f>CONCATENATE("606671504","")</f>
        <v>606671504</v>
      </c>
      <c r="G443" t="s">
        <v>971</v>
      </c>
      <c r="H443" t="s">
        <v>991</v>
      </c>
      <c r="I443" t="s">
        <v>992</v>
      </c>
      <c r="J443" t="str">
        <f t="shared" si="67"/>
        <v>081008</v>
      </c>
      <c r="K443" t="s">
        <v>21</v>
      </c>
      <c r="L443" t="s">
        <v>22</v>
      </c>
      <c r="M443" t="str">
        <f t="shared" si="68"/>
        <v>1</v>
      </c>
      <c r="O443" t="str">
        <f t="shared" si="66"/>
        <v>1 </v>
      </c>
      <c r="P443">
        <v>29.2</v>
      </c>
      <c r="Q443" t="s">
        <v>23</v>
      </c>
    </row>
    <row r="444" spans="1:17" ht="15">
      <c r="A444" t="s">
        <v>17</v>
      </c>
      <c r="B444" s="1">
        <v>41807</v>
      </c>
      <c r="C444" t="s">
        <v>903</v>
      </c>
      <c r="D444" t="str">
        <f>CONCATENATE("0130006075","")</f>
        <v>0130006075</v>
      </c>
      <c r="E444" t="str">
        <f>CONCATENATE("0100801000472       ","")</f>
        <v>0100801000472       </v>
      </c>
      <c r="F444" t="str">
        <f>CONCATENATE("605348865","")</f>
        <v>605348865</v>
      </c>
      <c r="G444" t="s">
        <v>971</v>
      </c>
      <c r="H444" t="s">
        <v>993</v>
      </c>
      <c r="I444" t="s">
        <v>990</v>
      </c>
      <c r="J444" t="str">
        <f t="shared" si="67"/>
        <v>081008</v>
      </c>
      <c r="K444" t="s">
        <v>21</v>
      </c>
      <c r="L444" t="s">
        <v>22</v>
      </c>
      <c r="M444" t="str">
        <f t="shared" si="68"/>
        <v>1</v>
      </c>
      <c r="O444" t="str">
        <f t="shared" si="66"/>
        <v>1 </v>
      </c>
      <c r="P444">
        <v>26.65</v>
      </c>
      <c r="Q444" t="s">
        <v>23</v>
      </c>
    </row>
    <row r="445" spans="1:17" ht="15">
      <c r="A445" t="s">
        <v>17</v>
      </c>
      <c r="B445" s="1">
        <v>41807</v>
      </c>
      <c r="C445" t="s">
        <v>903</v>
      </c>
      <c r="D445" t="str">
        <f>CONCATENATE("0130009044","")</f>
        <v>0130009044</v>
      </c>
      <c r="E445" t="str">
        <f>CONCATENATE("0100801000642       ","")</f>
        <v>0100801000642       </v>
      </c>
      <c r="F445" t="str">
        <f>CONCATENATE("605115135","")</f>
        <v>605115135</v>
      </c>
      <c r="G445" t="s">
        <v>971</v>
      </c>
      <c r="H445" t="s">
        <v>994</v>
      </c>
      <c r="I445" t="s">
        <v>995</v>
      </c>
      <c r="J445" t="str">
        <f t="shared" si="67"/>
        <v>081008</v>
      </c>
      <c r="K445" t="s">
        <v>21</v>
      </c>
      <c r="L445" t="s">
        <v>22</v>
      </c>
      <c r="M445" t="str">
        <f t="shared" si="68"/>
        <v>1</v>
      </c>
      <c r="O445" t="str">
        <f t="shared" si="66"/>
        <v>1 </v>
      </c>
      <c r="P445">
        <v>52.9</v>
      </c>
      <c r="Q445" t="s">
        <v>23</v>
      </c>
    </row>
    <row r="446" spans="1:17" ht="15">
      <c r="A446" t="s">
        <v>17</v>
      </c>
      <c r="B446" s="1">
        <v>41807</v>
      </c>
      <c r="C446" t="s">
        <v>903</v>
      </c>
      <c r="D446" t="str">
        <f>CONCATENATE("0130006115","")</f>
        <v>0130006115</v>
      </c>
      <c r="E446" t="str">
        <f>CONCATENATE("0100801000906       ","")</f>
        <v>0100801000906       </v>
      </c>
      <c r="F446" t="str">
        <f>CONCATENATE("605348849","")</f>
        <v>605348849</v>
      </c>
      <c r="G446" t="s">
        <v>971</v>
      </c>
      <c r="H446" t="s">
        <v>996</v>
      </c>
      <c r="I446" t="s">
        <v>997</v>
      </c>
      <c r="J446" t="str">
        <f t="shared" si="67"/>
        <v>081008</v>
      </c>
      <c r="K446" t="s">
        <v>21</v>
      </c>
      <c r="L446" t="s">
        <v>22</v>
      </c>
      <c r="M446" t="str">
        <f t="shared" si="68"/>
        <v>1</v>
      </c>
      <c r="O446" t="str">
        <f t="shared" si="66"/>
        <v>1 </v>
      </c>
      <c r="P446">
        <v>14.95</v>
      </c>
      <c r="Q446" t="s">
        <v>23</v>
      </c>
    </row>
    <row r="447" spans="1:17" ht="15">
      <c r="A447" t="s">
        <v>17</v>
      </c>
      <c r="B447" s="1">
        <v>41807</v>
      </c>
      <c r="C447" t="s">
        <v>903</v>
      </c>
      <c r="D447" t="str">
        <f>CONCATENATE("0130016048","")</f>
        <v>0130016048</v>
      </c>
      <c r="E447" t="str">
        <f>CONCATENATE("0100801001015       ","")</f>
        <v>0100801001015       </v>
      </c>
      <c r="F447" t="str">
        <f>CONCATENATE("605289402","")</f>
        <v>605289402</v>
      </c>
      <c r="G447" t="s">
        <v>971</v>
      </c>
      <c r="H447" t="s">
        <v>998</v>
      </c>
      <c r="I447" t="s">
        <v>999</v>
      </c>
      <c r="J447" t="str">
        <f t="shared" si="67"/>
        <v>081008</v>
      </c>
      <c r="K447" t="s">
        <v>21</v>
      </c>
      <c r="L447" t="s">
        <v>22</v>
      </c>
      <c r="M447" t="str">
        <f t="shared" si="68"/>
        <v>1</v>
      </c>
      <c r="O447" t="str">
        <f t="shared" si="66"/>
        <v>1 </v>
      </c>
      <c r="P447">
        <v>11.45</v>
      </c>
      <c r="Q447" t="s">
        <v>23</v>
      </c>
    </row>
    <row r="448" spans="1:17" ht="15">
      <c r="A448" t="s">
        <v>17</v>
      </c>
      <c r="B448" s="1">
        <v>41807</v>
      </c>
      <c r="C448" t="s">
        <v>903</v>
      </c>
      <c r="D448" t="str">
        <f>CONCATENATE("0130006127","")</f>
        <v>0130006127</v>
      </c>
      <c r="E448" t="str">
        <f>CONCATENATE("0100801001028       ","")</f>
        <v>0100801001028       </v>
      </c>
      <c r="F448" t="str">
        <f>CONCATENATE("605740705","")</f>
        <v>605740705</v>
      </c>
      <c r="G448" t="s">
        <v>971</v>
      </c>
      <c r="H448" t="s">
        <v>1000</v>
      </c>
      <c r="I448" t="s">
        <v>1001</v>
      </c>
      <c r="J448" t="str">
        <f t="shared" si="67"/>
        <v>081008</v>
      </c>
      <c r="K448" t="s">
        <v>21</v>
      </c>
      <c r="L448" t="s">
        <v>22</v>
      </c>
      <c r="M448" t="str">
        <f t="shared" si="68"/>
        <v>1</v>
      </c>
      <c r="O448" t="str">
        <f t="shared" si="66"/>
        <v>1 </v>
      </c>
      <c r="P448">
        <v>2422</v>
      </c>
      <c r="Q448" t="s">
        <v>23</v>
      </c>
    </row>
    <row r="449" spans="1:17" ht="15">
      <c r="A449" t="s">
        <v>17</v>
      </c>
      <c r="B449" s="1">
        <v>41807</v>
      </c>
      <c r="C449" t="s">
        <v>903</v>
      </c>
      <c r="D449" t="str">
        <f>CONCATENATE("0130008505","")</f>
        <v>0130008505</v>
      </c>
      <c r="E449" t="str">
        <f>CONCATENATE("0100801001150       ","")</f>
        <v>0100801001150       </v>
      </c>
      <c r="F449" t="str">
        <f>CONCATENATE("605347409","")</f>
        <v>605347409</v>
      </c>
      <c r="G449" t="s">
        <v>971</v>
      </c>
      <c r="H449" t="s">
        <v>1002</v>
      </c>
      <c r="I449" t="str">
        <f>CONCATENATE("01-OCT--PILLPINTO","")</f>
        <v>01-OCT--PILLPINTO</v>
      </c>
      <c r="J449" t="str">
        <f t="shared" si="67"/>
        <v>081008</v>
      </c>
      <c r="K449" t="s">
        <v>21</v>
      </c>
      <c r="L449" t="s">
        <v>22</v>
      </c>
      <c r="M449" t="str">
        <f t="shared" si="68"/>
        <v>1</v>
      </c>
      <c r="O449" t="str">
        <f t="shared" si="66"/>
        <v>1 </v>
      </c>
      <c r="P449">
        <v>27.2</v>
      </c>
      <c r="Q449" t="s">
        <v>23</v>
      </c>
    </row>
    <row r="450" spans="1:17" ht="15">
      <c r="A450" t="s">
        <v>17</v>
      </c>
      <c r="B450" s="1">
        <v>41807</v>
      </c>
      <c r="C450" t="s">
        <v>903</v>
      </c>
      <c r="D450" t="str">
        <f>CONCATENATE("0130010693","")</f>
        <v>0130010693</v>
      </c>
      <c r="E450" t="str">
        <f>CONCATENATE("0100801001160       ","")</f>
        <v>0100801001160       </v>
      </c>
      <c r="F450" t="str">
        <f>CONCATENATE("0606035149","")</f>
        <v>0606035149</v>
      </c>
      <c r="G450" t="s">
        <v>971</v>
      </c>
      <c r="H450" t="s">
        <v>1003</v>
      </c>
      <c r="I450" t="s">
        <v>1004</v>
      </c>
      <c r="J450" t="str">
        <f t="shared" si="67"/>
        <v>081008</v>
      </c>
      <c r="K450" t="s">
        <v>21</v>
      </c>
      <c r="L450" t="s">
        <v>22</v>
      </c>
      <c r="M450" t="str">
        <f t="shared" si="68"/>
        <v>1</v>
      </c>
      <c r="O450" t="str">
        <f t="shared" si="66"/>
        <v>1 </v>
      </c>
      <c r="P450">
        <v>540.8</v>
      </c>
      <c r="Q450" t="s">
        <v>23</v>
      </c>
    </row>
    <row r="451" spans="1:17" ht="15">
      <c r="A451" t="s">
        <v>17</v>
      </c>
      <c r="B451" s="1">
        <v>41807</v>
      </c>
      <c r="C451" t="s">
        <v>903</v>
      </c>
      <c r="D451" t="str">
        <f>CONCATENATE("0130006148","")</f>
        <v>0130006148</v>
      </c>
      <c r="E451" t="str">
        <f>CONCATENATE("0100802000130       ","")</f>
        <v>0100802000130       </v>
      </c>
      <c r="F451" t="str">
        <f>CONCATENATE("605349413","")</f>
        <v>605349413</v>
      </c>
      <c r="G451" t="s">
        <v>976</v>
      </c>
      <c r="H451" t="s">
        <v>1005</v>
      </c>
      <c r="I451" t="s">
        <v>1006</v>
      </c>
      <c r="J451" t="str">
        <f t="shared" si="67"/>
        <v>081008</v>
      </c>
      <c r="K451" t="s">
        <v>21</v>
      </c>
      <c r="L451" t="s">
        <v>22</v>
      </c>
      <c r="M451" t="str">
        <f t="shared" si="68"/>
        <v>1</v>
      </c>
      <c r="O451" t="str">
        <f t="shared" si="66"/>
        <v>1 </v>
      </c>
      <c r="P451">
        <v>14.15</v>
      </c>
      <c r="Q451" t="s">
        <v>23</v>
      </c>
    </row>
    <row r="452" spans="1:17" ht="15">
      <c r="A452" t="s">
        <v>17</v>
      </c>
      <c r="B452" s="1">
        <v>41807</v>
      </c>
      <c r="C452" t="s">
        <v>903</v>
      </c>
      <c r="D452" t="str">
        <f>CONCATENATE("0130006169","")</f>
        <v>0130006169</v>
      </c>
      <c r="E452" t="str">
        <f>CONCATENATE("0100802000420       ","")</f>
        <v>0100802000420       </v>
      </c>
      <c r="F452" t="str">
        <f>CONCATENATE("605349410","")</f>
        <v>605349410</v>
      </c>
      <c r="G452" t="s">
        <v>976</v>
      </c>
      <c r="H452" t="s">
        <v>1007</v>
      </c>
      <c r="I452" t="s">
        <v>1008</v>
      </c>
      <c r="J452" t="str">
        <f t="shared" si="67"/>
        <v>081008</v>
      </c>
      <c r="K452" t="s">
        <v>21</v>
      </c>
      <c r="L452" t="s">
        <v>22</v>
      </c>
      <c r="M452" t="str">
        <f t="shared" si="68"/>
        <v>1</v>
      </c>
      <c r="O452" t="str">
        <f t="shared" si="66"/>
        <v>1 </v>
      </c>
      <c r="P452">
        <v>25.2</v>
      </c>
      <c r="Q452" t="s">
        <v>23</v>
      </c>
    </row>
    <row r="453" spans="1:17" ht="15">
      <c r="A453" t="s">
        <v>17</v>
      </c>
      <c r="B453" s="1">
        <v>41807</v>
      </c>
      <c r="C453" t="s">
        <v>903</v>
      </c>
      <c r="D453" t="str">
        <f>CONCATENATE("0130012512","")</f>
        <v>0130012512</v>
      </c>
      <c r="E453" t="str">
        <f>CONCATENATE("0100802000540       ","")</f>
        <v>0100802000540       </v>
      </c>
      <c r="F453" t="str">
        <f>CONCATENATE("00000291322","")</f>
        <v>00000291322</v>
      </c>
      <c r="G453" t="s">
        <v>976</v>
      </c>
      <c r="H453" t="s">
        <v>1009</v>
      </c>
      <c r="I453" t="s">
        <v>1010</v>
      </c>
      <c r="J453" t="str">
        <f t="shared" si="67"/>
        <v>081008</v>
      </c>
      <c r="K453" t="s">
        <v>21</v>
      </c>
      <c r="L453" t="s">
        <v>22</v>
      </c>
      <c r="M453" t="str">
        <f t="shared" si="68"/>
        <v>1</v>
      </c>
      <c r="O453" t="str">
        <f t="shared" si="66"/>
        <v>1 </v>
      </c>
      <c r="P453">
        <v>24.5</v>
      </c>
      <c r="Q453" t="s">
        <v>23</v>
      </c>
    </row>
    <row r="454" spans="1:17" ht="15">
      <c r="A454" t="s">
        <v>17</v>
      </c>
      <c r="B454" s="1">
        <v>41807</v>
      </c>
      <c r="C454" t="s">
        <v>903</v>
      </c>
      <c r="D454" t="str">
        <f>CONCATENATE("0130013677","")</f>
        <v>0130013677</v>
      </c>
      <c r="E454" t="str">
        <f>CONCATENATE("0100815000120       ","")</f>
        <v>0100815000120       </v>
      </c>
      <c r="F454" t="str">
        <f>CONCATENATE("606677028","")</f>
        <v>606677028</v>
      </c>
      <c r="G454" t="s">
        <v>1011</v>
      </c>
      <c r="H454" t="s">
        <v>1012</v>
      </c>
      <c r="I454" t="s">
        <v>1013</v>
      </c>
      <c r="J454" t="str">
        <f t="shared" si="67"/>
        <v>081008</v>
      </c>
      <c r="K454" t="s">
        <v>21</v>
      </c>
      <c r="L454" t="s">
        <v>22</v>
      </c>
      <c r="M454" t="str">
        <f t="shared" si="68"/>
        <v>1</v>
      </c>
      <c r="O454" t="str">
        <f t="shared" si="66"/>
        <v>1 </v>
      </c>
      <c r="P454">
        <v>18.55</v>
      </c>
      <c r="Q454" t="s">
        <v>23</v>
      </c>
    </row>
    <row r="455" spans="1:17" ht="15">
      <c r="A455" t="s">
        <v>17</v>
      </c>
      <c r="B455" s="1">
        <v>41807</v>
      </c>
      <c r="C455" t="s">
        <v>903</v>
      </c>
      <c r="D455" t="str">
        <f>CONCATENATE("0130013688","")</f>
        <v>0130013688</v>
      </c>
      <c r="E455" t="str">
        <f>CONCATENATE("0100815000160       ","")</f>
        <v>0100815000160       </v>
      </c>
      <c r="F455" t="str">
        <f>CONCATENATE("606594887","")</f>
        <v>606594887</v>
      </c>
      <c r="G455" t="s">
        <v>1011</v>
      </c>
      <c r="H455" t="s">
        <v>1014</v>
      </c>
      <c r="I455" t="s">
        <v>1015</v>
      </c>
      <c r="J455" t="str">
        <f t="shared" si="67"/>
        <v>081008</v>
      </c>
      <c r="K455" t="s">
        <v>21</v>
      </c>
      <c r="L455" t="s">
        <v>22</v>
      </c>
      <c r="M455" t="str">
        <f t="shared" si="68"/>
        <v>1</v>
      </c>
      <c r="O455" t="str">
        <f t="shared" si="66"/>
        <v>1 </v>
      </c>
      <c r="P455">
        <v>11.5</v>
      </c>
      <c r="Q455" t="s">
        <v>23</v>
      </c>
    </row>
    <row r="456" spans="1:17" ht="15">
      <c r="A456" t="s">
        <v>17</v>
      </c>
      <c r="B456" s="1">
        <v>41807</v>
      </c>
      <c r="C456" t="s">
        <v>903</v>
      </c>
      <c r="D456" t="str">
        <f>CONCATENATE("0130014424","")</f>
        <v>0130014424</v>
      </c>
      <c r="E456" t="str">
        <f>CONCATENATE("0100815000295       ","")</f>
        <v>0100815000295       </v>
      </c>
      <c r="F456" t="str">
        <f>CONCATENATE("606668800","")</f>
        <v>606668800</v>
      </c>
      <c r="G456" t="s">
        <v>1011</v>
      </c>
      <c r="H456" t="s">
        <v>1016</v>
      </c>
      <c r="I456" t="s">
        <v>1017</v>
      </c>
      <c r="J456" t="str">
        <f t="shared" si="67"/>
        <v>081008</v>
      </c>
      <c r="K456" t="s">
        <v>21</v>
      </c>
      <c r="L456" t="s">
        <v>22</v>
      </c>
      <c r="M456" t="str">
        <f t="shared" si="68"/>
        <v>1</v>
      </c>
      <c r="O456" t="str">
        <f t="shared" si="66"/>
        <v>1 </v>
      </c>
      <c r="P456">
        <v>14.25</v>
      </c>
      <c r="Q456" t="s">
        <v>23</v>
      </c>
    </row>
    <row r="457" spans="1:17" ht="15">
      <c r="A457" t="s">
        <v>17</v>
      </c>
      <c r="B457" s="1">
        <v>41807</v>
      </c>
      <c r="C457" t="s">
        <v>903</v>
      </c>
      <c r="D457" t="str">
        <f>CONCATENATE("0130013689","")</f>
        <v>0130013689</v>
      </c>
      <c r="E457" t="str">
        <f>CONCATENATE("0100815000650       ","")</f>
        <v>0100815000650       </v>
      </c>
      <c r="F457" t="str">
        <f>CONCATENATE("606668786","")</f>
        <v>606668786</v>
      </c>
      <c r="G457" t="s">
        <v>1011</v>
      </c>
      <c r="H457" t="s">
        <v>1018</v>
      </c>
      <c r="I457" t="s">
        <v>1019</v>
      </c>
      <c r="J457" t="str">
        <f t="shared" si="67"/>
        <v>081008</v>
      </c>
      <c r="K457" t="s">
        <v>21</v>
      </c>
      <c r="L457" t="s">
        <v>22</v>
      </c>
      <c r="M457" t="str">
        <f t="shared" si="68"/>
        <v>1</v>
      </c>
      <c r="O457" t="str">
        <f t="shared" si="66"/>
        <v>1 </v>
      </c>
      <c r="P457">
        <v>24.05</v>
      </c>
      <c r="Q457" t="s">
        <v>23</v>
      </c>
    </row>
    <row r="458" spans="1:17" ht="15">
      <c r="A458" t="s">
        <v>17</v>
      </c>
      <c r="B458" s="1">
        <v>41807</v>
      </c>
      <c r="C458" t="s">
        <v>903</v>
      </c>
      <c r="D458" t="str">
        <f>CONCATENATE("0130013668","")</f>
        <v>0130013668</v>
      </c>
      <c r="E458" t="str">
        <f>CONCATENATE("0100815000690       ","")</f>
        <v>0100815000690       </v>
      </c>
      <c r="F458" t="str">
        <f>CONCATENATE("606668144","")</f>
        <v>606668144</v>
      </c>
      <c r="G458" t="s">
        <v>1011</v>
      </c>
      <c r="H458" t="s">
        <v>1020</v>
      </c>
      <c r="I458" t="s">
        <v>1019</v>
      </c>
      <c r="J458" t="str">
        <f t="shared" si="67"/>
        <v>081008</v>
      </c>
      <c r="K458" t="s">
        <v>21</v>
      </c>
      <c r="L458" t="s">
        <v>22</v>
      </c>
      <c r="M458" t="str">
        <f t="shared" si="68"/>
        <v>1</v>
      </c>
      <c r="O458" t="str">
        <f t="shared" si="66"/>
        <v>1 </v>
      </c>
      <c r="P458">
        <v>26.35</v>
      </c>
      <c r="Q458" t="s">
        <v>23</v>
      </c>
    </row>
    <row r="459" spans="1:17" ht="15">
      <c r="A459" t="s">
        <v>17</v>
      </c>
      <c r="B459" s="1">
        <v>41807</v>
      </c>
      <c r="C459" t="s">
        <v>903</v>
      </c>
      <c r="D459" t="str">
        <f>CONCATENATE("0130014423","")</f>
        <v>0130014423</v>
      </c>
      <c r="E459" t="str">
        <f>CONCATENATE("0100815000845       ","")</f>
        <v>0100815000845       </v>
      </c>
      <c r="F459" t="str">
        <f>CONCATENATE("606668143","")</f>
        <v>606668143</v>
      </c>
      <c r="G459" t="s">
        <v>1011</v>
      </c>
      <c r="H459" t="s">
        <v>1021</v>
      </c>
      <c r="I459" t="s">
        <v>1022</v>
      </c>
      <c r="J459" t="str">
        <f t="shared" si="67"/>
        <v>081008</v>
      </c>
      <c r="K459" t="s">
        <v>21</v>
      </c>
      <c r="L459" t="s">
        <v>22</v>
      </c>
      <c r="M459" t="str">
        <f t="shared" si="68"/>
        <v>1</v>
      </c>
      <c r="O459" t="str">
        <f>CONCATENATE("3 ","")</f>
        <v>3 </v>
      </c>
      <c r="P459">
        <v>24.25</v>
      </c>
      <c r="Q459" t="s">
        <v>23</v>
      </c>
    </row>
    <row r="460" spans="1:17" ht="15">
      <c r="A460" t="s">
        <v>17</v>
      </c>
      <c r="B460" s="1">
        <v>41807</v>
      </c>
      <c r="C460" t="s">
        <v>903</v>
      </c>
      <c r="D460" t="str">
        <f>CONCATENATE("0130016912","")</f>
        <v>0130016912</v>
      </c>
      <c r="E460" t="str">
        <f>CONCATENATE("0100815000855       ","")</f>
        <v>0100815000855       </v>
      </c>
      <c r="F460" t="str">
        <f>CONCATENATE("605621640","")</f>
        <v>605621640</v>
      </c>
      <c r="G460" t="s">
        <v>1011</v>
      </c>
      <c r="H460" t="s">
        <v>1023</v>
      </c>
      <c r="I460" t="s">
        <v>1024</v>
      </c>
      <c r="J460" t="str">
        <f t="shared" si="67"/>
        <v>081008</v>
      </c>
      <c r="K460" t="s">
        <v>21</v>
      </c>
      <c r="L460" t="s">
        <v>22</v>
      </c>
      <c r="M460" t="str">
        <f t="shared" si="68"/>
        <v>1</v>
      </c>
      <c r="O460" t="str">
        <f aca="true" t="shared" si="69" ref="O460:O471">CONCATENATE("1 ","")</f>
        <v>1 </v>
      </c>
      <c r="P460">
        <v>31.15</v>
      </c>
      <c r="Q460" t="s">
        <v>23</v>
      </c>
    </row>
    <row r="461" spans="1:17" ht="15">
      <c r="A461" t="s">
        <v>17</v>
      </c>
      <c r="B461" s="1">
        <v>41807</v>
      </c>
      <c r="C461" t="s">
        <v>903</v>
      </c>
      <c r="D461" t="str">
        <f>CONCATENATE("0130013635","")</f>
        <v>0130013635</v>
      </c>
      <c r="E461" t="str">
        <f>CONCATENATE("0100815000860       ","")</f>
        <v>0100815000860       </v>
      </c>
      <c r="F461" t="str">
        <f>CONCATENATE("606668163","")</f>
        <v>606668163</v>
      </c>
      <c r="G461" t="s">
        <v>1011</v>
      </c>
      <c r="H461" t="s">
        <v>1025</v>
      </c>
      <c r="I461" t="s">
        <v>1026</v>
      </c>
      <c r="J461" t="str">
        <f t="shared" si="67"/>
        <v>081008</v>
      </c>
      <c r="K461" t="s">
        <v>21</v>
      </c>
      <c r="L461" t="s">
        <v>22</v>
      </c>
      <c r="M461" t="str">
        <f t="shared" si="68"/>
        <v>1</v>
      </c>
      <c r="O461" t="str">
        <f t="shared" si="69"/>
        <v>1 </v>
      </c>
      <c r="P461">
        <v>24.4</v>
      </c>
      <c r="Q461" t="s">
        <v>23</v>
      </c>
    </row>
    <row r="462" spans="1:17" ht="15">
      <c r="A462" t="s">
        <v>17</v>
      </c>
      <c r="B462" s="1">
        <v>41807</v>
      </c>
      <c r="C462" t="s">
        <v>1027</v>
      </c>
      <c r="D462" t="str">
        <f>CONCATENATE("0130021141","")</f>
        <v>0130021141</v>
      </c>
      <c r="E462" t="str">
        <f>CONCATENATE("0120580000285       ","")</f>
        <v>0120580000285       </v>
      </c>
      <c r="F462" t="str">
        <f>CONCATENATE("1934356","")</f>
        <v>1934356</v>
      </c>
      <c r="G462" t="s">
        <v>1028</v>
      </c>
      <c r="H462" t="s">
        <v>1029</v>
      </c>
      <c r="I462" t="s">
        <v>1030</v>
      </c>
      <c r="J462" t="str">
        <f>CONCATENATE("081206","")</f>
        <v>081206</v>
      </c>
      <c r="K462" t="s">
        <v>21</v>
      </c>
      <c r="L462" t="s">
        <v>22</v>
      </c>
      <c r="M462" t="str">
        <f t="shared" si="68"/>
        <v>1</v>
      </c>
      <c r="O462" t="str">
        <f t="shared" si="69"/>
        <v>1 </v>
      </c>
      <c r="P462">
        <v>106.4</v>
      </c>
      <c r="Q462" t="s">
        <v>23</v>
      </c>
    </row>
    <row r="463" spans="1:17" ht="15">
      <c r="A463" t="s">
        <v>17</v>
      </c>
      <c r="B463" s="1">
        <v>41807</v>
      </c>
      <c r="C463" t="s">
        <v>1027</v>
      </c>
      <c r="D463" t="str">
        <f>CONCATENATE("0130006208","")</f>
        <v>0130006208</v>
      </c>
      <c r="E463" t="str">
        <f>CONCATENATE("0120580000350       ","")</f>
        <v>0120580000350       </v>
      </c>
      <c r="F463" t="str">
        <f>CONCATENATE("605348118","")</f>
        <v>605348118</v>
      </c>
      <c r="G463" t="s">
        <v>1028</v>
      </c>
      <c r="H463" t="s">
        <v>1031</v>
      </c>
      <c r="I463" t="s">
        <v>1032</v>
      </c>
      <c r="J463" t="str">
        <f>CONCATENATE("081206","")</f>
        <v>081206</v>
      </c>
      <c r="K463" t="s">
        <v>21</v>
      </c>
      <c r="L463" t="s">
        <v>22</v>
      </c>
      <c r="M463" t="str">
        <f t="shared" si="68"/>
        <v>1</v>
      </c>
      <c r="O463" t="str">
        <f t="shared" si="69"/>
        <v>1 </v>
      </c>
      <c r="P463">
        <v>12.7</v>
      </c>
      <c r="Q463" t="s">
        <v>23</v>
      </c>
    </row>
    <row r="464" spans="1:17" ht="15">
      <c r="A464" t="s">
        <v>17</v>
      </c>
      <c r="B464" s="1">
        <v>41807</v>
      </c>
      <c r="C464" t="s">
        <v>1027</v>
      </c>
      <c r="D464" t="str">
        <f>CONCATENATE("0130006215","")</f>
        <v>0130006215</v>
      </c>
      <c r="E464" t="str">
        <f>CONCATENATE("0120580000450       ","")</f>
        <v>0120580000450       </v>
      </c>
      <c r="F464" t="str">
        <f>CONCATENATE("605348117","")</f>
        <v>605348117</v>
      </c>
      <c r="G464" t="s">
        <v>1028</v>
      </c>
      <c r="H464" t="s">
        <v>1033</v>
      </c>
      <c r="I464" t="s">
        <v>1032</v>
      </c>
      <c r="J464" t="str">
        <f>CONCATENATE("081206","")</f>
        <v>081206</v>
      </c>
      <c r="K464" t="s">
        <v>21</v>
      </c>
      <c r="L464" t="s">
        <v>22</v>
      </c>
      <c r="M464" t="str">
        <f t="shared" si="68"/>
        <v>1</v>
      </c>
      <c r="O464" t="str">
        <f t="shared" si="69"/>
        <v>1 </v>
      </c>
      <c r="P464">
        <v>125.35</v>
      </c>
      <c r="Q464" t="s">
        <v>23</v>
      </c>
    </row>
    <row r="465" spans="1:17" ht="15">
      <c r="A465" t="s">
        <v>17</v>
      </c>
      <c r="B465" s="1">
        <v>41807</v>
      </c>
      <c r="C465" t="s">
        <v>1034</v>
      </c>
      <c r="D465" t="str">
        <f>CONCATENATE("0130017823","")</f>
        <v>0130017823</v>
      </c>
      <c r="E465" t="str">
        <f>CONCATENATE("0120606002060       ","")</f>
        <v>0120606002060       </v>
      </c>
      <c r="F465" t="str">
        <f>CONCATENATE("90500427","")</f>
        <v>90500427</v>
      </c>
      <c r="G465" t="s">
        <v>1035</v>
      </c>
      <c r="H465" t="s">
        <v>1036</v>
      </c>
      <c r="I465" t="s">
        <v>1037</v>
      </c>
      <c r="J465" t="str">
        <f aca="true" t="shared" si="70" ref="J465:J470">CONCATENATE("081212","")</f>
        <v>081212</v>
      </c>
      <c r="K465" t="s">
        <v>21</v>
      </c>
      <c r="L465" t="s">
        <v>22</v>
      </c>
      <c r="M465" t="str">
        <f t="shared" si="68"/>
        <v>1</v>
      </c>
      <c r="O465" t="str">
        <f t="shared" si="69"/>
        <v>1 </v>
      </c>
      <c r="P465">
        <v>15.3</v>
      </c>
      <c r="Q465" t="s">
        <v>23</v>
      </c>
    </row>
    <row r="466" spans="1:17" ht="15">
      <c r="A466" t="s">
        <v>17</v>
      </c>
      <c r="B466" s="1">
        <v>41807</v>
      </c>
      <c r="C466" t="s">
        <v>1034</v>
      </c>
      <c r="D466" t="str">
        <f>CONCATENATE("0040034978","")</f>
        <v>0040034978</v>
      </c>
      <c r="E466" t="str">
        <f>CONCATENATE("0120607002220       ","")</f>
        <v>0120607002220       </v>
      </c>
      <c r="F466" t="str">
        <f>CONCATENATE("606095252","")</f>
        <v>606095252</v>
      </c>
      <c r="G466" t="s">
        <v>1038</v>
      </c>
      <c r="H466" t="s">
        <v>1039</v>
      </c>
      <c r="I466" t="s">
        <v>1040</v>
      </c>
      <c r="J466" t="str">
        <f t="shared" si="70"/>
        <v>081212</v>
      </c>
      <c r="K466" t="s">
        <v>21</v>
      </c>
      <c r="L466" t="s">
        <v>22</v>
      </c>
      <c r="M466" t="str">
        <f t="shared" si="68"/>
        <v>1</v>
      </c>
      <c r="O466" t="str">
        <f t="shared" si="69"/>
        <v>1 </v>
      </c>
      <c r="P466">
        <v>17.75</v>
      </c>
      <c r="Q466" t="s">
        <v>23</v>
      </c>
    </row>
    <row r="467" spans="1:17" ht="15">
      <c r="A467" t="s">
        <v>17</v>
      </c>
      <c r="B467" s="1">
        <v>41807</v>
      </c>
      <c r="C467" t="s">
        <v>1034</v>
      </c>
      <c r="D467" t="str">
        <f>CONCATENATE("0040033178","")</f>
        <v>0040033178</v>
      </c>
      <c r="E467" t="str">
        <f>CONCATENATE("0120607002270       ","")</f>
        <v>0120607002270       </v>
      </c>
      <c r="F467" t="str">
        <f>CONCATENATE("606143890","")</f>
        <v>606143890</v>
      </c>
      <c r="G467" t="s">
        <v>1038</v>
      </c>
      <c r="H467" t="s">
        <v>1041</v>
      </c>
      <c r="I467" t="s">
        <v>1042</v>
      </c>
      <c r="J467" t="str">
        <f t="shared" si="70"/>
        <v>081212</v>
      </c>
      <c r="K467" t="s">
        <v>21</v>
      </c>
      <c r="L467" t="s">
        <v>22</v>
      </c>
      <c r="M467" t="str">
        <f t="shared" si="68"/>
        <v>1</v>
      </c>
      <c r="O467" t="str">
        <f t="shared" si="69"/>
        <v>1 </v>
      </c>
      <c r="P467">
        <v>17.05</v>
      </c>
      <c r="Q467" t="s">
        <v>23</v>
      </c>
    </row>
    <row r="468" spans="1:17" ht="15">
      <c r="A468" t="s">
        <v>17</v>
      </c>
      <c r="B468" s="1">
        <v>41807</v>
      </c>
      <c r="C468" t="s">
        <v>1034</v>
      </c>
      <c r="D468" t="str">
        <f>CONCATENATE("0040033183","")</f>
        <v>0040033183</v>
      </c>
      <c r="E468" t="str">
        <f>CONCATENATE("0120607002310       ","")</f>
        <v>0120607002310       </v>
      </c>
      <c r="F468" t="str">
        <f>CONCATENATE("606095353","")</f>
        <v>606095353</v>
      </c>
      <c r="G468" t="s">
        <v>1038</v>
      </c>
      <c r="H468" t="s">
        <v>1043</v>
      </c>
      <c r="I468" t="s">
        <v>1042</v>
      </c>
      <c r="J468" t="str">
        <f t="shared" si="70"/>
        <v>081212</v>
      </c>
      <c r="K468" t="s">
        <v>21</v>
      </c>
      <c r="L468" t="s">
        <v>22</v>
      </c>
      <c r="M468" t="str">
        <f aca="true" t="shared" si="71" ref="M468:M499">CONCATENATE("1","")</f>
        <v>1</v>
      </c>
      <c r="O468" t="str">
        <f t="shared" si="69"/>
        <v>1 </v>
      </c>
      <c r="P468">
        <v>12.8</v>
      </c>
      <c r="Q468" t="s">
        <v>23</v>
      </c>
    </row>
    <row r="469" spans="1:17" ht="15">
      <c r="A469" t="s">
        <v>17</v>
      </c>
      <c r="B469" s="1">
        <v>41807</v>
      </c>
      <c r="C469" t="s">
        <v>1034</v>
      </c>
      <c r="D469" t="str">
        <f>CONCATENATE("0040033188","")</f>
        <v>0040033188</v>
      </c>
      <c r="E469" t="str">
        <f>CONCATENATE("0120607002330       ","")</f>
        <v>0120607002330       </v>
      </c>
      <c r="F469" t="str">
        <f>CONCATENATE("606095369","")</f>
        <v>606095369</v>
      </c>
      <c r="G469" t="s">
        <v>1038</v>
      </c>
      <c r="H469" t="s">
        <v>1044</v>
      </c>
      <c r="I469" t="s">
        <v>1042</v>
      </c>
      <c r="J469" t="str">
        <f t="shared" si="70"/>
        <v>081212</v>
      </c>
      <c r="K469" t="s">
        <v>21</v>
      </c>
      <c r="L469" t="s">
        <v>22</v>
      </c>
      <c r="M469" t="str">
        <f t="shared" si="71"/>
        <v>1</v>
      </c>
      <c r="O469" t="str">
        <f t="shared" si="69"/>
        <v>1 </v>
      </c>
      <c r="P469">
        <v>12.7</v>
      </c>
      <c r="Q469" t="s">
        <v>23</v>
      </c>
    </row>
    <row r="470" spans="1:17" ht="15">
      <c r="A470" t="s">
        <v>17</v>
      </c>
      <c r="B470" s="1">
        <v>41807</v>
      </c>
      <c r="C470" t="s">
        <v>1034</v>
      </c>
      <c r="D470" t="str">
        <f>CONCATENATE("0040033191","")</f>
        <v>0040033191</v>
      </c>
      <c r="E470" t="str">
        <f>CONCATENATE("0120607002350       ","")</f>
        <v>0120607002350       </v>
      </c>
      <c r="F470" t="str">
        <f>CONCATENATE("606095362","")</f>
        <v>606095362</v>
      </c>
      <c r="G470" t="s">
        <v>1038</v>
      </c>
      <c r="H470" t="s">
        <v>1045</v>
      </c>
      <c r="I470" t="s">
        <v>1042</v>
      </c>
      <c r="J470" t="str">
        <f t="shared" si="70"/>
        <v>081212</v>
      </c>
      <c r="K470" t="s">
        <v>21</v>
      </c>
      <c r="L470" t="s">
        <v>22</v>
      </c>
      <c r="M470" t="str">
        <f t="shared" si="71"/>
        <v>1</v>
      </c>
      <c r="O470" t="str">
        <f t="shared" si="69"/>
        <v>1 </v>
      </c>
      <c r="P470">
        <v>12.7</v>
      </c>
      <c r="Q470" t="s">
        <v>23</v>
      </c>
    </row>
    <row r="471" spans="1:17" ht="15">
      <c r="A471" t="s">
        <v>17</v>
      </c>
      <c r="B471" s="1">
        <v>41807</v>
      </c>
      <c r="C471" t="s">
        <v>1027</v>
      </c>
      <c r="D471" t="str">
        <f>CONCATENATE("0130013167","")</f>
        <v>0130013167</v>
      </c>
      <c r="E471" t="str">
        <f>CONCATENATE("0120608000186       ","")</f>
        <v>0120608000186       </v>
      </c>
      <c r="F471" t="str">
        <f>CONCATENATE("606600226","")</f>
        <v>606600226</v>
      </c>
      <c r="G471" t="s">
        <v>1046</v>
      </c>
      <c r="H471" t="s">
        <v>1047</v>
      </c>
      <c r="I471" t="s">
        <v>1048</v>
      </c>
      <c r="J471" t="str">
        <f aca="true" t="shared" si="72" ref="J471:J488">CONCATENATE("081206","")</f>
        <v>081206</v>
      </c>
      <c r="K471" t="s">
        <v>21</v>
      </c>
      <c r="L471" t="s">
        <v>22</v>
      </c>
      <c r="M471" t="str">
        <f t="shared" si="71"/>
        <v>1</v>
      </c>
      <c r="O471" t="str">
        <f t="shared" si="69"/>
        <v>1 </v>
      </c>
      <c r="P471">
        <v>55.35</v>
      </c>
      <c r="Q471" t="s">
        <v>23</v>
      </c>
    </row>
    <row r="472" spans="1:17" ht="15">
      <c r="A472" t="s">
        <v>17</v>
      </c>
      <c r="B472" s="1">
        <v>41807</v>
      </c>
      <c r="C472" t="s">
        <v>1027</v>
      </c>
      <c r="D472" t="str">
        <f>CONCATENATE("0130006382","")</f>
        <v>0130006382</v>
      </c>
      <c r="E472" t="str">
        <f>CONCATENATE("0120608000350       ","")</f>
        <v>0120608000350       </v>
      </c>
      <c r="F472" t="str">
        <f>CONCATENATE("605121530","")</f>
        <v>605121530</v>
      </c>
      <c r="G472" t="s">
        <v>1049</v>
      </c>
      <c r="H472" t="s">
        <v>1050</v>
      </c>
      <c r="I472" t="s">
        <v>1051</v>
      </c>
      <c r="J472" t="str">
        <f t="shared" si="72"/>
        <v>081206</v>
      </c>
      <c r="K472" t="s">
        <v>21</v>
      </c>
      <c r="L472" t="s">
        <v>22</v>
      </c>
      <c r="M472" t="str">
        <f t="shared" si="71"/>
        <v>1</v>
      </c>
      <c r="O472" t="str">
        <f>CONCATENATE("3 ","")</f>
        <v>3 </v>
      </c>
      <c r="P472">
        <v>22.9</v>
      </c>
      <c r="Q472" t="s">
        <v>23</v>
      </c>
    </row>
    <row r="473" spans="1:17" ht="15">
      <c r="A473" t="s">
        <v>17</v>
      </c>
      <c r="B473" s="1">
        <v>41807</v>
      </c>
      <c r="C473" t="s">
        <v>1027</v>
      </c>
      <c r="D473" t="str">
        <f>CONCATENATE("0130017229","")</f>
        <v>0130017229</v>
      </c>
      <c r="E473" t="str">
        <f>CONCATENATE("0120609000475       ","")</f>
        <v>0120609000475       </v>
      </c>
      <c r="F473" t="str">
        <f>CONCATENATE("605761586","")</f>
        <v>605761586</v>
      </c>
      <c r="G473" t="s">
        <v>1046</v>
      </c>
      <c r="H473" t="s">
        <v>1052</v>
      </c>
      <c r="I473" t="s">
        <v>1053</v>
      </c>
      <c r="J473" t="str">
        <f t="shared" si="72"/>
        <v>081206</v>
      </c>
      <c r="K473" t="s">
        <v>21</v>
      </c>
      <c r="L473" t="s">
        <v>22</v>
      </c>
      <c r="M473" t="str">
        <f t="shared" si="71"/>
        <v>1</v>
      </c>
      <c r="O473" t="str">
        <f>CONCATENATE("1 ","")</f>
        <v>1 </v>
      </c>
      <c r="P473">
        <v>34.85</v>
      </c>
      <c r="Q473" t="s">
        <v>23</v>
      </c>
    </row>
    <row r="474" spans="1:17" ht="15">
      <c r="A474" t="s">
        <v>17</v>
      </c>
      <c r="B474" s="1">
        <v>41807</v>
      </c>
      <c r="C474" t="s">
        <v>1027</v>
      </c>
      <c r="D474" t="str">
        <f>CONCATENATE("0130006311","")</f>
        <v>0130006311</v>
      </c>
      <c r="E474" t="str">
        <f>CONCATENATE("0120609000970       ","")</f>
        <v>0120609000970       </v>
      </c>
      <c r="F474" t="str">
        <f>CONCATENATE("605231435","")</f>
        <v>605231435</v>
      </c>
      <c r="G474" t="s">
        <v>1046</v>
      </c>
      <c r="H474" t="s">
        <v>1054</v>
      </c>
      <c r="I474" t="s">
        <v>1055</v>
      </c>
      <c r="J474" t="str">
        <f t="shared" si="72"/>
        <v>081206</v>
      </c>
      <c r="K474" t="s">
        <v>21</v>
      </c>
      <c r="L474" t="s">
        <v>22</v>
      </c>
      <c r="M474" t="str">
        <f t="shared" si="71"/>
        <v>1</v>
      </c>
      <c r="O474" t="str">
        <f>CONCATENATE("1 ","")</f>
        <v>1 </v>
      </c>
      <c r="P474">
        <v>18.7</v>
      </c>
      <c r="Q474" t="s">
        <v>23</v>
      </c>
    </row>
    <row r="475" spans="1:17" ht="15">
      <c r="A475" t="s">
        <v>17</v>
      </c>
      <c r="B475" s="1">
        <v>41807</v>
      </c>
      <c r="C475" t="s">
        <v>1027</v>
      </c>
      <c r="D475" t="str">
        <f>CONCATENATE("0130006319","")</f>
        <v>0130006319</v>
      </c>
      <c r="E475" t="str">
        <f>CONCATENATE("0120609001040       ","")</f>
        <v>0120609001040       </v>
      </c>
      <c r="F475" t="str">
        <f>CONCATENATE("605121169","")</f>
        <v>605121169</v>
      </c>
      <c r="G475" t="s">
        <v>1046</v>
      </c>
      <c r="H475" t="s">
        <v>1056</v>
      </c>
      <c r="I475" t="s">
        <v>1057</v>
      </c>
      <c r="J475" t="str">
        <f t="shared" si="72"/>
        <v>081206</v>
      </c>
      <c r="K475" t="s">
        <v>21</v>
      </c>
      <c r="L475" t="s">
        <v>22</v>
      </c>
      <c r="M475" t="str">
        <f t="shared" si="71"/>
        <v>1</v>
      </c>
      <c r="O475" t="str">
        <f>CONCATENATE("1 ","")</f>
        <v>1 </v>
      </c>
      <c r="P475">
        <v>15.95</v>
      </c>
      <c r="Q475" t="s">
        <v>23</v>
      </c>
    </row>
    <row r="476" spans="1:17" ht="15">
      <c r="A476" t="s">
        <v>17</v>
      </c>
      <c r="B476" s="1">
        <v>41807</v>
      </c>
      <c r="C476" t="s">
        <v>1027</v>
      </c>
      <c r="D476" t="str">
        <f>CONCATENATE("0040027950","")</f>
        <v>0040027950</v>
      </c>
      <c r="E476" t="str">
        <f>CONCATENATE("0120609001081       ","")</f>
        <v>0120609001081       </v>
      </c>
      <c r="F476" t="str">
        <f>CONCATENATE("2125022","")</f>
        <v>2125022</v>
      </c>
      <c r="G476" t="s">
        <v>1046</v>
      </c>
      <c r="H476" t="s">
        <v>1058</v>
      </c>
      <c r="I476" t="s">
        <v>1059</v>
      </c>
      <c r="J476" t="str">
        <f t="shared" si="72"/>
        <v>081206</v>
      </c>
      <c r="K476" t="s">
        <v>21</v>
      </c>
      <c r="L476" t="s">
        <v>22</v>
      </c>
      <c r="M476" t="str">
        <f t="shared" si="71"/>
        <v>1</v>
      </c>
      <c r="O476" t="str">
        <f>CONCATENATE("1 ","")</f>
        <v>1 </v>
      </c>
      <c r="P476">
        <v>174.05</v>
      </c>
      <c r="Q476" t="s">
        <v>23</v>
      </c>
    </row>
    <row r="477" spans="1:17" ht="15">
      <c r="A477" t="s">
        <v>17</v>
      </c>
      <c r="B477" s="1">
        <v>41807</v>
      </c>
      <c r="C477" t="s">
        <v>1027</v>
      </c>
      <c r="D477" t="str">
        <f>CONCATENATE("0130008925","")</f>
        <v>0130008925</v>
      </c>
      <c r="E477" t="str">
        <f>CONCATENATE("0120609002070       ","")</f>
        <v>0120609002070       </v>
      </c>
      <c r="F477" t="str">
        <f>CONCATENATE("07300255","")</f>
        <v>07300255</v>
      </c>
      <c r="G477" t="s">
        <v>1046</v>
      </c>
      <c r="H477" t="s">
        <v>1060</v>
      </c>
      <c r="I477" t="s">
        <v>1061</v>
      </c>
      <c r="J477" t="str">
        <f t="shared" si="72"/>
        <v>081206</v>
      </c>
      <c r="K477" t="s">
        <v>21</v>
      </c>
      <c r="L477" t="s">
        <v>22</v>
      </c>
      <c r="M477" t="str">
        <f t="shared" si="71"/>
        <v>1</v>
      </c>
      <c r="O477" t="str">
        <f>CONCATENATE("1 ","")</f>
        <v>1 </v>
      </c>
      <c r="P477">
        <v>110.75</v>
      </c>
      <c r="Q477" t="s">
        <v>23</v>
      </c>
    </row>
    <row r="478" spans="1:17" ht="15">
      <c r="A478" t="s">
        <v>17</v>
      </c>
      <c r="B478" s="1">
        <v>41807</v>
      </c>
      <c r="C478" t="s">
        <v>1027</v>
      </c>
      <c r="D478" t="str">
        <f>CONCATENATE("0040034270","")</f>
        <v>0040034270</v>
      </c>
      <c r="E478" t="str">
        <f>CONCATENATE("0120619000553       ","")</f>
        <v>0120619000553       </v>
      </c>
      <c r="F478" t="str">
        <f>CONCATENATE("606670681","")</f>
        <v>606670681</v>
      </c>
      <c r="G478" t="s">
        <v>1046</v>
      </c>
      <c r="H478" t="s">
        <v>1062</v>
      </c>
      <c r="I478" t="s">
        <v>1063</v>
      </c>
      <c r="J478" t="str">
        <f t="shared" si="72"/>
        <v>081206</v>
      </c>
      <c r="K478" t="s">
        <v>21</v>
      </c>
      <c r="L478" t="s">
        <v>22</v>
      </c>
      <c r="M478" t="str">
        <f t="shared" si="71"/>
        <v>1</v>
      </c>
      <c r="O478" t="str">
        <f>CONCATENATE("2 ","")</f>
        <v>2 </v>
      </c>
      <c r="P478">
        <v>142.15</v>
      </c>
      <c r="Q478" t="s">
        <v>23</v>
      </c>
    </row>
    <row r="479" spans="1:17" ht="15">
      <c r="A479" t="s">
        <v>17</v>
      </c>
      <c r="B479" s="1">
        <v>41807</v>
      </c>
      <c r="C479" t="s">
        <v>1027</v>
      </c>
      <c r="D479" t="str">
        <f>CONCATENATE("0130021576","")</f>
        <v>0130021576</v>
      </c>
      <c r="E479" t="str">
        <f>CONCATENATE("0120625000026       ","")</f>
        <v>0120625000026       </v>
      </c>
      <c r="F479" t="str">
        <f>CONCATENATE("2187975","")</f>
        <v>2187975</v>
      </c>
      <c r="G479" t="s">
        <v>1064</v>
      </c>
      <c r="H479" t="s">
        <v>1065</v>
      </c>
      <c r="I479" t="s">
        <v>1066</v>
      </c>
      <c r="J479" t="str">
        <f t="shared" si="72"/>
        <v>081206</v>
      </c>
      <c r="K479" t="s">
        <v>21</v>
      </c>
      <c r="L479" t="s">
        <v>22</v>
      </c>
      <c r="M479" t="str">
        <f t="shared" si="71"/>
        <v>1</v>
      </c>
      <c r="O479" t="str">
        <f>CONCATENATE("2 ","")</f>
        <v>2 </v>
      </c>
      <c r="P479">
        <v>19.65</v>
      </c>
      <c r="Q479" t="s">
        <v>23</v>
      </c>
    </row>
    <row r="480" spans="1:17" ht="15">
      <c r="A480" t="s">
        <v>17</v>
      </c>
      <c r="B480" s="1">
        <v>41807</v>
      </c>
      <c r="C480" t="s">
        <v>1027</v>
      </c>
      <c r="D480" t="str">
        <f>CONCATENATE("0130006556","")</f>
        <v>0130006556</v>
      </c>
      <c r="E480" t="str">
        <f>CONCATENATE("0120625000040       ","")</f>
        <v>0120625000040       </v>
      </c>
      <c r="F480" t="str">
        <f>CONCATENATE("605740852","")</f>
        <v>605740852</v>
      </c>
      <c r="G480" t="s">
        <v>1064</v>
      </c>
      <c r="H480" t="s">
        <v>1067</v>
      </c>
      <c r="I480" t="s">
        <v>1068</v>
      </c>
      <c r="J480" t="str">
        <f t="shared" si="72"/>
        <v>081206</v>
      </c>
      <c r="K480" t="s">
        <v>21</v>
      </c>
      <c r="L480" t="s">
        <v>22</v>
      </c>
      <c r="M480" t="str">
        <f t="shared" si="71"/>
        <v>1</v>
      </c>
      <c r="O480" t="str">
        <f aca="true" t="shared" si="73" ref="O480:O491">CONCATENATE("1 ","")</f>
        <v>1 </v>
      </c>
      <c r="P480">
        <v>41.75</v>
      </c>
      <c r="Q480" t="s">
        <v>23</v>
      </c>
    </row>
    <row r="481" spans="1:17" ht="15">
      <c r="A481" t="s">
        <v>17</v>
      </c>
      <c r="B481" s="1">
        <v>41807</v>
      </c>
      <c r="C481" t="s">
        <v>1027</v>
      </c>
      <c r="D481" t="str">
        <f>CONCATENATE("0040026252","")</f>
        <v>0040026252</v>
      </c>
      <c r="E481" t="str">
        <f>CONCATENATE("0120625000213       ","")</f>
        <v>0120625000213       </v>
      </c>
      <c r="F481" t="str">
        <f>CONCATENATE("1867271","")</f>
        <v>1867271</v>
      </c>
      <c r="G481" t="s">
        <v>1064</v>
      </c>
      <c r="H481" t="s">
        <v>1069</v>
      </c>
      <c r="I481" t="s">
        <v>1070</v>
      </c>
      <c r="J481" t="str">
        <f t="shared" si="72"/>
        <v>081206</v>
      </c>
      <c r="K481" t="s">
        <v>21</v>
      </c>
      <c r="L481" t="s">
        <v>22</v>
      </c>
      <c r="M481" t="str">
        <f t="shared" si="71"/>
        <v>1</v>
      </c>
      <c r="O481" t="str">
        <f t="shared" si="73"/>
        <v>1 </v>
      </c>
      <c r="P481">
        <v>41.62</v>
      </c>
      <c r="Q481" t="s">
        <v>23</v>
      </c>
    </row>
    <row r="482" spans="1:17" ht="15">
      <c r="A482" t="s">
        <v>17</v>
      </c>
      <c r="B482" s="1">
        <v>41807</v>
      </c>
      <c r="C482" t="s">
        <v>1027</v>
      </c>
      <c r="D482" t="str">
        <f>CONCATENATE("0130012687","")</f>
        <v>0130012687</v>
      </c>
      <c r="E482" t="str">
        <f>CONCATENATE("0120625000300       ","")</f>
        <v>0120625000300       </v>
      </c>
      <c r="F482" t="str">
        <f>CONCATENATE("606668139","")</f>
        <v>606668139</v>
      </c>
      <c r="G482" t="s">
        <v>1064</v>
      </c>
      <c r="H482" t="s">
        <v>1071</v>
      </c>
      <c r="I482" t="s">
        <v>1072</v>
      </c>
      <c r="J482" t="str">
        <f t="shared" si="72"/>
        <v>081206</v>
      </c>
      <c r="K482" t="s">
        <v>21</v>
      </c>
      <c r="L482" t="s">
        <v>22</v>
      </c>
      <c r="M482" t="str">
        <f t="shared" si="71"/>
        <v>1</v>
      </c>
      <c r="O482" t="str">
        <f t="shared" si="73"/>
        <v>1 </v>
      </c>
      <c r="P482">
        <v>16.65</v>
      </c>
      <c r="Q482" t="s">
        <v>23</v>
      </c>
    </row>
    <row r="483" spans="1:17" ht="15">
      <c r="A483" t="s">
        <v>17</v>
      </c>
      <c r="B483" s="1">
        <v>41807</v>
      </c>
      <c r="C483" t="s">
        <v>1027</v>
      </c>
      <c r="D483" t="str">
        <f>CONCATENATE("0130011528","")</f>
        <v>0130011528</v>
      </c>
      <c r="E483" t="str">
        <f>CONCATENATE("0120625000335       ","")</f>
        <v>0120625000335       </v>
      </c>
      <c r="F483" t="str">
        <f>CONCATENATE("10430967","")</f>
        <v>10430967</v>
      </c>
      <c r="G483" t="s">
        <v>1064</v>
      </c>
      <c r="H483" t="s">
        <v>1073</v>
      </c>
      <c r="I483" t="s">
        <v>1072</v>
      </c>
      <c r="J483" t="str">
        <f t="shared" si="72"/>
        <v>081206</v>
      </c>
      <c r="K483" t="s">
        <v>21</v>
      </c>
      <c r="L483" t="s">
        <v>22</v>
      </c>
      <c r="M483" t="str">
        <f t="shared" si="71"/>
        <v>1</v>
      </c>
      <c r="O483" t="str">
        <f t="shared" si="73"/>
        <v>1 </v>
      </c>
      <c r="P483">
        <v>31.75</v>
      </c>
      <c r="Q483" t="s">
        <v>23</v>
      </c>
    </row>
    <row r="484" spans="1:17" ht="15">
      <c r="A484" t="s">
        <v>17</v>
      </c>
      <c r="B484" s="1">
        <v>41807</v>
      </c>
      <c r="C484" t="s">
        <v>1027</v>
      </c>
      <c r="D484" t="str">
        <f>CONCATENATE("0130006615","")</f>
        <v>0130006615</v>
      </c>
      <c r="E484" t="str">
        <f>CONCATENATE("0120626000300       ","")</f>
        <v>0120626000300       </v>
      </c>
      <c r="F484" t="str">
        <f>CONCATENATE("605121144","")</f>
        <v>605121144</v>
      </c>
      <c r="G484" t="s">
        <v>1074</v>
      </c>
      <c r="H484" t="s">
        <v>1075</v>
      </c>
      <c r="I484" t="s">
        <v>1076</v>
      </c>
      <c r="J484" t="str">
        <f t="shared" si="72"/>
        <v>081206</v>
      </c>
      <c r="K484" t="s">
        <v>21</v>
      </c>
      <c r="L484" t="s">
        <v>22</v>
      </c>
      <c r="M484" t="str">
        <f t="shared" si="71"/>
        <v>1</v>
      </c>
      <c r="O484" t="str">
        <f t="shared" si="73"/>
        <v>1 </v>
      </c>
      <c r="P484">
        <v>28.45</v>
      </c>
      <c r="Q484" t="s">
        <v>23</v>
      </c>
    </row>
    <row r="485" spans="1:17" ht="15">
      <c r="A485" t="s">
        <v>17</v>
      </c>
      <c r="B485" s="1">
        <v>41807</v>
      </c>
      <c r="C485" t="s">
        <v>1027</v>
      </c>
      <c r="D485" t="str">
        <f>CONCATENATE("0130016131","")</f>
        <v>0130016131</v>
      </c>
      <c r="E485" t="str">
        <f>CONCATENATE("0120626000355       ","")</f>
        <v>0120626000355       </v>
      </c>
      <c r="F485" t="str">
        <f>CONCATENATE("605278763","")</f>
        <v>605278763</v>
      </c>
      <c r="G485" t="s">
        <v>1074</v>
      </c>
      <c r="H485" t="s">
        <v>1077</v>
      </c>
      <c r="I485" t="s">
        <v>1072</v>
      </c>
      <c r="J485" t="str">
        <f t="shared" si="72"/>
        <v>081206</v>
      </c>
      <c r="K485" t="s">
        <v>21</v>
      </c>
      <c r="L485" t="s">
        <v>22</v>
      </c>
      <c r="M485" t="str">
        <f t="shared" si="71"/>
        <v>1</v>
      </c>
      <c r="O485" t="str">
        <f t="shared" si="73"/>
        <v>1 </v>
      </c>
      <c r="P485">
        <v>16.1</v>
      </c>
      <c r="Q485" t="s">
        <v>23</v>
      </c>
    </row>
    <row r="486" spans="1:17" ht="15">
      <c r="A486" t="s">
        <v>17</v>
      </c>
      <c r="B486" s="1">
        <v>41807</v>
      </c>
      <c r="C486" t="s">
        <v>1027</v>
      </c>
      <c r="D486" t="str">
        <f>CONCATENATE("0040026559","")</f>
        <v>0040026559</v>
      </c>
      <c r="E486" t="str">
        <f>CONCATENATE("0120626000535       ","")</f>
        <v>0120626000535       </v>
      </c>
      <c r="F486" t="str">
        <f>CONCATENATE("1863733","")</f>
        <v>1863733</v>
      </c>
      <c r="G486" t="s">
        <v>1074</v>
      </c>
      <c r="H486" t="s">
        <v>1078</v>
      </c>
      <c r="I486" t="s">
        <v>1066</v>
      </c>
      <c r="J486" t="str">
        <f t="shared" si="72"/>
        <v>081206</v>
      </c>
      <c r="K486" t="s">
        <v>21</v>
      </c>
      <c r="L486" t="s">
        <v>22</v>
      </c>
      <c r="M486" t="str">
        <f t="shared" si="71"/>
        <v>1</v>
      </c>
      <c r="O486" t="str">
        <f t="shared" si="73"/>
        <v>1 </v>
      </c>
      <c r="P486">
        <v>13.7</v>
      </c>
      <c r="Q486" t="s">
        <v>23</v>
      </c>
    </row>
    <row r="487" spans="1:17" ht="15">
      <c r="A487" t="s">
        <v>17</v>
      </c>
      <c r="B487" s="1">
        <v>41807</v>
      </c>
      <c r="C487" t="s">
        <v>1027</v>
      </c>
      <c r="D487" t="str">
        <f>CONCATENATE("0130006633","")</f>
        <v>0130006633</v>
      </c>
      <c r="E487" t="str">
        <f>CONCATENATE("0120630000340       ","")</f>
        <v>0120630000340       </v>
      </c>
      <c r="F487" t="str">
        <f>CONCATENATE("605120055","")</f>
        <v>605120055</v>
      </c>
      <c r="G487" t="s">
        <v>1079</v>
      </c>
      <c r="H487" t="s">
        <v>1080</v>
      </c>
      <c r="I487" t="s">
        <v>1081</v>
      </c>
      <c r="J487" t="str">
        <f t="shared" si="72"/>
        <v>081206</v>
      </c>
      <c r="K487" t="s">
        <v>21</v>
      </c>
      <c r="L487" t="s">
        <v>22</v>
      </c>
      <c r="M487" t="str">
        <f t="shared" si="71"/>
        <v>1</v>
      </c>
      <c r="O487" t="str">
        <f t="shared" si="73"/>
        <v>1 </v>
      </c>
      <c r="P487">
        <v>16.2</v>
      </c>
      <c r="Q487" t="s">
        <v>23</v>
      </c>
    </row>
    <row r="488" spans="1:17" ht="15">
      <c r="A488" t="s">
        <v>17</v>
      </c>
      <c r="B488" s="1">
        <v>41807</v>
      </c>
      <c r="C488" t="s">
        <v>1027</v>
      </c>
      <c r="D488" t="str">
        <f>CONCATENATE("0130006658","")</f>
        <v>0130006658</v>
      </c>
      <c r="E488" t="str">
        <f>CONCATENATE("0120630001180       ","")</f>
        <v>0120630001180       </v>
      </c>
      <c r="F488" t="str">
        <f>CONCATENATE("605120051","")</f>
        <v>605120051</v>
      </c>
      <c r="G488" t="s">
        <v>1079</v>
      </c>
      <c r="H488" t="s">
        <v>1082</v>
      </c>
      <c r="I488" t="s">
        <v>1081</v>
      </c>
      <c r="J488" t="str">
        <f t="shared" si="72"/>
        <v>081206</v>
      </c>
      <c r="K488" t="s">
        <v>21</v>
      </c>
      <c r="L488" t="s">
        <v>22</v>
      </c>
      <c r="M488" t="str">
        <f t="shared" si="71"/>
        <v>1</v>
      </c>
      <c r="O488" t="str">
        <f t="shared" si="73"/>
        <v>1 </v>
      </c>
      <c r="P488">
        <v>37.05</v>
      </c>
      <c r="Q488" t="s">
        <v>23</v>
      </c>
    </row>
    <row r="489" spans="1:17" ht="15">
      <c r="A489" t="s">
        <v>17</v>
      </c>
      <c r="B489" s="1">
        <v>41807</v>
      </c>
      <c r="C489" t="s">
        <v>700</v>
      </c>
      <c r="D489" t="str">
        <f>CONCATENATE("0130017445","")</f>
        <v>0130017445</v>
      </c>
      <c r="E489" t="str">
        <f>CONCATENATE("0120635000065       ","")</f>
        <v>0120635000065       </v>
      </c>
      <c r="F489" t="str">
        <f>CONCATENATE("0605763971","")</f>
        <v>0605763971</v>
      </c>
      <c r="G489" t="s">
        <v>1083</v>
      </c>
      <c r="H489" t="s">
        <v>1084</v>
      </c>
      <c r="I489" t="s">
        <v>1085</v>
      </c>
      <c r="J489" t="str">
        <f>CONCATENATE("080602","")</f>
        <v>080602</v>
      </c>
      <c r="K489" t="s">
        <v>21</v>
      </c>
      <c r="L489" t="s">
        <v>22</v>
      </c>
      <c r="M489" t="str">
        <f t="shared" si="71"/>
        <v>1</v>
      </c>
      <c r="O489" t="str">
        <f t="shared" si="73"/>
        <v>1 </v>
      </c>
      <c r="P489">
        <v>16.65</v>
      </c>
      <c r="Q489" t="s">
        <v>23</v>
      </c>
    </row>
    <row r="490" spans="1:17" ht="15">
      <c r="A490" t="s">
        <v>17</v>
      </c>
      <c r="B490" s="1">
        <v>41807</v>
      </c>
      <c r="C490" t="s">
        <v>700</v>
      </c>
      <c r="D490" t="str">
        <f>CONCATENATE("0130006694","")</f>
        <v>0130006694</v>
      </c>
      <c r="E490" t="str">
        <f>CONCATENATE("0120635000400       ","")</f>
        <v>0120635000400       </v>
      </c>
      <c r="F490" t="str">
        <f>CONCATENATE("605748017","")</f>
        <v>605748017</v>
      </c>
      <c r="G490" t="s">
        <v>1083</v>
      </c>
      <c r="H490" t="s">
        <v>1086</v>
      </c>
      <c r="I490" t="s">
        <v>1087</v>
      </c>
      <c r="J490" t="str">
        <f>CONCATENATE("080602","")</f>
        <v>080602</v>
      </c>
      <c r="K490" t="s">
        <v>21</v>
      </c>
      <c r="L490" t="s">
        <v>22</v>
      </c>
      <c r="M490" t="str">
        <f t="shared" si="71"/>
        <v>1</v>
      </c>
      <c r="O490" t="str">
        <f t="shared" si="73"/>
        <v>1 </v>
      </c>
      <c r="P490">
        <v>22.55</v>
      </c>
      <c r="Q490" t="s">
        <v>23</v>
      </c>
    </row>
    <row r="491" spans="1:17" ht="15">
      <c r="A491" t="s">
        <v>17</v>
      </c>
      <c r="B491" s="1">
        <v>41807</v>
      </c>
      <c r="C491" t="s">
        <v>700</v>
      </c>
      <c r="D491" t="str">
        <f>CONCATENATE("0130006696","")</f>
        <v>0130006696</v>
      </c>
      <c r="E491" t="str">
        <f>CONCATENATE("0120635000420       ","")</f>
        <v>0120635000420       </v>
      </c>
      <c r="F491" t="str">
        <f>CONCATENATE("0606029639","")</f>
        <v>0606029639</v>
      </c>
      <c r="G491" t="s">
        <v>1083</v>
      </c>
      <c r="H491" t="s">
        <v>1088</v>
      </c>
      <c r="I491" t="s">
        <v>1087</v>
      </c>
      <c r="J491" t="str">
        <f>CONCATENATE("080602","")</f>
        <v>080602</v>
      </c>
      <c r="K491" t="s">
        <v>21</v>
      </c>
      <c r="L491" t="s">
        <v>22</v>
      </c>
      <c r="M491" t="str">
        <f t="shared" si="71"/>
        <v>1</v>
      </c>
      <c r="O491" t="str">
        <f t="shared" si="73"/>
        <v>1 </v>
      </c>
      <c r="P491">
        <v>11.55</v>
      </c>
      <c r="Q491" t="s">
        <v>23</v>
      </c>
    </row>
    <row r="492" spans="1:17" ht="15">
      <c r="A492" t="s">
        <v>17</v>
      </c>
      <c r="B492" s="1">
        <v>41807</v>
      </c>
      <c r="C492" t="s">
        <v>1034</v>
      </c>
      <c r="D492" t="str">
        <f>CONCATENATE("0130017885","")</f>
        <v>0130017885</v>
      </c>
      <c r="E492" t="str">
        <f>CONCATENATE("0121015001030       ","")</f>
        <v>0121015001030       </v>
      </c>
      <c r="F492" t="str">
        <f>CONCATENATE("90500023","")</f>
        <v>90500023</v>
      </c>
      <c r="G492" t="s">
        <v>1089</v>
      </c>
      <c r="H492" t="e">
        <f>-CCACHA--CHAMPI--ERASMO</f>
        <v>#NAME?</v>
      </c>
      <c r="I492" t="s">
        <v>1090</v>
      </c>
      <c r="J492" t="str">
        <f aca="true" t="shared" si="74" ref="J492:J503">CONCATENATE("081212","")</f>
        <v>081212</v>
      </c>
      <c r="K492" t="s">
        <v>21</v>
      </c>
      <c r="L492" t="s">
        <v>22</v>
      </c>
      <c r="M492" t="str">
        <f t="shared" si="71"/>
        <v>1</v>
      </c>
      <c r="O492" t="str">
        <f>CONCATENATE("2 ","")</f>
        <v>2 </v>
      </c>
      <c r="P492">
        <v>34.85</v>
      </c>
      <c r="Q492" t="s">
        <v>23</v>
      </c>
    </row>
    <row r="493" spans="1:17" ht="15">
      <c r="A493" t="s">
        <v>17</v>
      </c>
      <c r="B493" s="1">
        <v>41807</v>
      </c>
      <c r="C493" t="s">
        <v>1034</v>
      </c>
      <c r="D493" t="str">
        <f>CONCATENATE("0130021481","")</f>
        <v>0130021481</v>
      </c>
      <c r="E493" t="str">
        <f>CONCATENATE("0121015001145       ","")</f>
        <v>0121015001145       </v>
      </c>
      <c r="F493" t="str">
        <f>CONCATENATE("1930578","")</f>
        <v>1930578</v>
      </c>
      <c r="G493" t="s">
        <v>1089</v>
      </c>
      <c r="H493" t="s">
        <v>1091</v>
      </c>
      <c r="I493" t="s">
        <v>1092</v>
      </c>
      <c r="J493" t="str">
        <f t="shared" si="74"/>
        <v>081212</v>
      </c>
      <c r="K493" t="s">
        <v>21</v>
      </c>
      <c r="L493" t="s">
        <v>22</v>
      </c>
      <c r="M493" t="str">
        <f t="shared" si="71"/>
        <v>1</v>
      </c>
      <c r="O493" t="str">
        <f aca="true" t="shared" si="75" ref="O493:O512">CONCATENATE("1 ","")</f>
        <v>1 </v>
      </c>
      <c r="P493">
        <v>11.9</v>
      </c>
      <c r="Q493" t="s">
        <v>23</v>
      </c>
    </row>
    <row r="494" spans="1:17" ht="15">
      <c r="A494" t="s">
        <v>17</v>
      </c>
      <c r="B494" s="1">
        <v>41807</v>
      </c>
      <c r="C494" t="s">
        <v>1034</v>
      </c>
      <c r="D494" t="str">
        <f>CONCATENATE("0130019105","")</f>
        <v>0130019105</v>
      </c>
      <c r="E494" t="str">
        <f>CONCATENATE("0121030002020       ","")</f>
        <v>0121030002020       </v>
      </c>
      <c r="F494" t="str">
        <f>CONCATENATE("90601560","")</f>
        <v>90601560</v>
      </c>
      <c r="G494" t="s">
        <v>1093</v>
      </c>
      <c r="H494" t="s">
        <v>1094</v>
      </c>
      <c r="I494" t="s">
        <v>1095</v>
      </c>
      <c r="J494" t="str">
        <f t="shared" si="74"/>
        <v>081212</v>
      </c>
      <c r="K494" t="s">
        <v>21</v>
      </c>
      <c r="L494" t="s">
        <v>22</v>
      </c>
      <c r="M494" t="str">
        <f t="shared" si="71"/>
        <v>1</v>
      </c>
      <c r="O494" t="str">
        <f t="shared" si="75"/>
        <v>1 </v>
      </c>
      <c r="P494">
        <v>12.5</v>
      </c>
      <c r="Q494" t="s">
        <v>23</v>
      </c>
    </row>
    <row r="495" spans="1:17" ht="15">
      <c r="A495" t="s">
        <v>17</v>
      </c>
      <c r="B495" s="1">
        <v>41807</v>
      </c>
      <c r="C495" t="s">
        <v>1034</v>
      </c>
      <c r="D495" t="str">
        <f>CONCATENATE("0130018936","")</f>
        <v>0130018936</v>
      </c>
      <c r="E495" t="str">
        <f>CONCATENATE("0121035001170       ","")</f>
        <v>0121035001170       </v>
      </c>
      <c r="F495" t="str">
        <f>CONCATENATE("90600886","")</f>
        <v>90600886</v>
      </c>
      <c r="G495" t="s">
        <v>1096</v>
      </c>
      <c r="H495" t="s">
        <v>1097</v>
      </c>
      <c r="I495" t="s">
        <v>1098</v>
      </c>
      <c r="J495" t="str">
        <f t="shared" si="74"/>
        <v>081212</v>
      </c>
      <c r="K495" t="s">
        <v>21</v>
      </c>
      <c r="L495" t="s">
        <v>22</v>
      </c>
      <c r="M495" t="str">
        <f t="shared" si="71"/>
        <v>1</v>
      </c>
      <c r="O495" t="str">
        <f t="shared" si="75"/>
        <v>1 </v>
      </c>
      <c r="P495">
        <v>16.25</v>
      </c>
      <c r="Q495" t="s">
        <v>23</v>
      </c>
    </row>
    <row r="496" spans="1:17" ht="15">
      <c r="A496" t="s">
        <v>17</v>
      </c>
      <c r="B496" s="1">
        <v>41807</v>
      </c>
      <c r="C496" t="s">
        <v>1034</v>
      </c>
      <c r="D496" t="str">
        <f>CONCATENATE("0040033003","")</f>
        <v>0040033003</v>
      </c>
      <c r="E496" t="str">
        <f>CONCATENATE("0121035001197       ","")</f>
        <v>0121035001197       </v>
      </c>
      <c r="F496" t="str">
        <f>CONCATENATE("2187110","")</f>
        <v>2187110</v>
      </c>
      <c r="G496" t="s">
        <v>1096</v>
      </c>
      <c r="H496" t="s">
        <v>1099</v>
      </c>
      <c r="I496" t="s">
        <v>1100</v>
      </c>
      <c r="J496" t="str">
        <f t="shared" si="74"/>
        <v>081212</v>
      </c>
      <c r="K496" t="s">
        <v>21</v>
      </c>
      <c r="L496" t="s">
        <v>22</v>
      </c>
      <c r="M496" t="str">
        <f t="shared" si="71"/>
        <v>1</v>
      </c>
      <c r="O496" t="str">
        <f t="shared" si="75"/>
        <v>1 </v>
      </c>
      <c r="P496">
        <v>14.55</v>
      </c>
      <c r="Q496" t="s">
        <v>23</v>
      </c>
    </row>
    <row r="497" spans="1:17" ht="15">
      <c r="A497" t="s">
        <v>17</v>
      </c>
      <c r="B497" s="1">
        <v>41807</v>
      </c>
      <c r="C497" t="s">
        <v>1034</v>
      </c>
      <c r="D497" t="str">
        <f>CONCATENATE("0130021240","")</f>
        <v>0130021240</v>
      </c>
      <c r="E497" t="str">
        <f>CONCATENATE("0121035001215       ","")</f>
        <v>0121035001215       </v>
      </c>
      <c r="F497" t="str">
        <f>CONCATENATE("1942638","")</f>
        <v>1942638</v>
      </c>
      <c r="G497" t="s">
        <v>1096</v>
      </c>
      <c r="H497" t="s">
        <v>1101</v>
      </c>
      <c r="I497" t="s">
        <v>1102</v>
      </c>
      <c r="J497" t="str">
        <f t="shared" si="74"/>
        <v>081212</v>
      </c>
      <c r="K497" t="s">
        <v>21</v>
      </c>
      <c r="L497" t="s">
        <v>22</v>
      </c>
      <c r="M497" t="str">
        <f t="shared" si="71"/>
        <v>1</v>
      </c>
      <c r="O497" t="str">
        <f t="shared" si="75"/>
        <v>1 </v>
      </c>
      <c r="P497">
        <v>16.75</v>
      </c>
      <c r="Q497" t="s">
        <v>23</v>
      </c>
    </row>
    <row r="498" spans="1:17" ht="15">
      <c r="A498" t="s">
        <v>17</v>
      </c>
      <c r="B498" s="1">
        <v>41807</v>
      </c>
      <c r="C498" t="s">
        <v>1034</v>
      </c>
      <c r="D498" t="str">
        <f>CONCATENATE("0130018976","")</f>
        <v>0130018976</v>
      </c>
      <c r="E498" t="str">
        <f>CONCATENATE("0121035001290       ","")</f>
        <v>0121035001290       </v>
      </c>
      <c r="F498" t="str">
        <f>CONCATENATE("90601066","")</f>
        <v>90601066</v>
      </c>
      <c r="G498" t="s">
        <v>1096</v>
      </c>
      <c r="H498" t="s">
        <v>1103</v>
      </c>
      <c r="I498" t="s">
        <v>1098</v>
      </c>
      <c r="J498" t="str">
        <f t="shared" si="74"/>
        <v>081212</v>
      </c>
      <c r="K498" t="s">
        <v>21</v>
      </c>
      <c r="L498" t="s">
        <v>22</v>
      </c>
      <c r="M498" t="str">
        <f t="shared" si="71"/>
        <v>1</v>
      </c>
      <c r="O498" t="str">
        <f t="shared" si="75"/>
        <v>1 </v>
      </c>
      <c r="P498">
        <v>11.9</v>
      </c>
      <c r="Q498" t="s">
        <v>23</v>
      </c>
    </row>
    <row r="499" spans="1:17" ht="15">
      <c r="A499" t="s">
        <v>17</v>
      </c>
      <c r="B499" s="1">
        <v>41807</v>
      </c>
      <c r="C499" t="s">
        <v>1034</v>
      </c>
      <c r="D499" t="str">
        <f>CONCATENATE("0130018985","")</f>
        <v>0130018985</v>
      </c>
      <c r="E499" t="str">
        <f>CONCATENATE("0121035002040       ","")</f>
        <v>0121035002040       </v>
      </c>
      <c r="F499" t="str">
        <f>CONCATENATE("90600896","")</f>
        <v>90600896</v>
      </c>
      <c r="G499" t="s">
        <v>1096</v>
      </c>
      <c r="H499" t="s">
        <v>1104</v>
      </c>
      <c r="I499" t="s">
        <v>1098</v>
      </c>
      <c r="J499" t="str">
        <f t="shared" si="74"/>
        <v>081212</v>
      </c>
      <c r="K499" t="s">
        <v>21</v>
      </c>
      <c r="L499" t="s">
        <v>22</v>
      </c>
      <c r="M499" t="str">
        <f t="shared" si="71"/>
        <v>1</v>
      </c>
      <c r="O499" t="str">
        <f t="shared" si="75"/>
        <v>1 </v>
      </c>
      <c r="P499">
        <v>14.65</v>
      </c>
      <c r="Q499" t="s">
        <v>23</v>
      </c>
    </row>
    <row r="500" spans="1:17" ht="15">
      <c r="A500" t="s">
        <v>17</v>
      </c>
      <c r="B500" s="1">
        <v>41807</v>
      </c>
      <c r="C500" t="s">
        <v>1034</v>
      </c>
      <c r="D500" t="str">
        <f>CONCATENATE("0130021588","")</f>
        <v>0130021588</v>
      </c>
      <c r="E500" t="str">
        <f>CONCATENATE("0121035002285       ","")</f>
        <v>0121035002285       </v>
      </c>
      <c r="F500" t="str">
        <f>CONCATENATE("1939182","")</f>
        <v>1939182</v>
      </c>
      <c r="G500" t="s">
        <v>1096</v>
      </c>
      <c r="H500" t="s">
        <v>1105</v>
      </c>
      <c r="I500" t="s">
        <v>1106</v>
      </c>
      <c r="J500" t="str">
        <f t="shared" si="74"/>
        <v>081212</v>
      </c>
      <c r="K500" t="s">
        <v>21</v>
      </c>
      <c r="L500" t="s">
        <v>22</v>
      </c>
      <c r="M500" t="str">
        <f aca="true" t="shared" si="76" ref="M500:M513">CONCATENATE("1","")</f>
        <v>1</v>
      </c>
      <c r="O500" t="str">
        <f t="shared" si="75"/>
        <v>1 </v>
      </c>
      <c r="P500">
        <v>13.65</v>
      </c>
      <c r="Q500" t="s">
        <v>23</v>
      </c>
    </row>
    <row r="501" spans="1:17" ht="15">
      <c r="A501" t="s">
        <v>17</v>
      </c>
      <c r="B501" s="1">
        <v>41807</v>
      </c>
      <c r="C501" t="s">
        <v>1034</v>
      </c>
      <c r="D501" t="str">
        <f>CONCATENATE("0130017817","")</f>
        <v>0130017817</v>
      </c>
      <c r="E501" t="str">
        <f>CONCATENATE("0121040002090       ","")</f>
        <v>0121040002090       </v>
      </c>
      <c r="F501" t="str">
        <f>CONCATENATE("90601869","")</f>
        <v>90601869</v>
      </c>
      <c r="G501" t="s">
        <v>1107</v>
      </c>
      <c r="H501" t="s">
        <v>1108</v>
      </c>
      <c r="I501" t="s">
        <v>1109</v>
      </c>
      <c r="J501" t="str">
        <f t="shared" si="74"/>
        <v>081212</v>
      </c>
      <c r="K501" t="s">
        <v>21</v>
      </c>
      <c r="L501" t="s">
        <v>22</v>
      </c>
      <c r="M501" t="str">
        <f t="shared" si="76"/>
        <v>1</v>
      </c>
      <c r="O501" t="str">
        <f t="shared" si="75"/>
        <v>1 </v>
      </c>
      <c r="P501">
        <v>11.95</v>
      </c>
      <c r="Q501" t="s">
        <v>23</v>
      </c>
    </row>
    <row r="502" spans="1:17" ht="15">
      <c r="A502" t="s">
        <v>17</v>
      </c>
      <c r="B502" s="1">
        <v>41807</v>
      </c>
      <c r="C502" t="s">
        <v>1034</v>
      </c>
      <c r="D502" t="str">
        <f>CONCATENATE("0130017992","")</f>
        <v>0130017992</v>
      </c>
      <c r="E502" t="str">
        <f>CONCATENATE("0121045001080       ","")</f>
        <v>0121045001080       </v>
      </c>
      <c r="F502" t="str">
        <f>CONCATENATE("90500730","")</f>
        <v>90500730</v>
      </c>
      <c r="G502" t="s">
        <v>1110</v>
      </c>
      <c r="H502" t="s">
        <v>1111</v>
      </c>
      <c r="I502" t="s">
        <v>1112</v>
      </c>
      <c r="J502" t="str">
        <f t="shared" si="74"/>
        <v>081212</v>
      </c>
      <c r="K502" t="s">
        <v>21</v>
      </c>
      <c r="L502" t="s">
        <v>22</v>
      </c>
      <c r="M502" t="str">
        <f t="shared" si="76"/>
        <v>1</v>
      </c>
      <c r="O502" t="str">
        <f t="shared" si="75"/>
        <v>1 </v>
      </c>
      <c r="P502">
        <v>12.25</v>
      </c>
      <c r="Q502" t="s">
        <v>23</v>
      </c>
    </row>
    <row r="503" spans="1:17" ht="15">
      <c r="A503" t="s">
        <v>17</v>
      </c>
      <c r="B503" s="1">
        <v>41807</v>
      </c>
      <c r="C503" t="s">
        <v>1034</v>
      </c>
      <c r="D503" t="str">
        <f>CONCATENATE("0130019004","")</f>
        <v>0130019004</v>
      </c>
      <c r="E503" t="str">
        <f>CONCATENATE("0121055001050       ","")</f>
        <v>0121055001050       </v>
      </c>
      <c r="F503" t="str">
        <f>CONCATENATE("90601753","")</f>
        <v>90601753</v>
      </c>
      <c r="G503" t="s">
        <v>1113</v>
      </c>
      <c r="H503" t="s">
        <v>1114</v>
      </c>
      <c r="I503" t="s">
        <v>1115</v>
      </c>
      <c r="J503" t="str">
        <f t="shared" si="74"/>
        <v>081212</v>
      </c>
      <c r="K503" t="s">
        <v>21</v>
      </c>
      <c r="L503" t="s">
        <v>22</v>
      </c>
      <c r="M503" t="str">
        <f t="shared" si="76"/>
        <v>1</v>
      </c>
      <c r="O503" t="str">
        <f t="shared" si="75"/>
        <v>1 </v>
      </c>
      <c r="P503">
        <v>15.6</v>
      </c>
      <c r="Q503" t="s">
        <v>23</v>
      </c>
    </row>
    <row r="504" spans="1:17" ht="15">
      <c r="A504" t="s">
        <v>17</v>
      </c>
      <c r="B504" s="1">
        <v>41807</v>
      </c>
      <c r="C504" t="s">
        <v>18</v>
      </c>
      <c r="D504" t="str">
        <f>CONCATENATE("0040026715","")</f>
        <v>0040026715</v>
      </c>
      <c r="E504" t="str">
        <f>CONCATENATE("0121065001027       ","")</f>
        <v>0121065001027       </v>
      </c>
      <c r="F504" t="str">
        <f>CONCATENATE("1863556","")</f>
        <v>1863556</v>
      </c>
      <c r="G504" t="s">
        <v>132</v>
      </c>
      <c r="H504" t="s">
        <v>1116</v>
      </c>
      <c r="I504" t="s">
        <v>1117</v>
      </c>
      <c r="J504" t="str">
        <f>CONCATENATE("080201","")</f>
        <v>080201</v>
      </c>
      <c r="K504" t="s">
        <v>21</v>
      </c>
      <c r="L504" t="s">
        <v>22</v>
      </c>
      <c r="M504" t="str">
        <f t="shared" si="76"/>
        <v>1</v>
      </c>
      <c r="O504" t="str">
        <f t="shared" si="75"/>
        <v>1 </v>
      </c>
      <c r="P504">
        <v>12.1</v>
      </c>
      <c r="Q504" t="s">
        <v>23</v>
      </c>
    </row>
    <row r="505" spans="1:17" ht="15">
      <c r="A505" t="s">
        <v>17</v>
      </c>
      <c r="B505" s="1">
        <v>41807</v>
      </c>
      <c r="C505" t="s">
        <v>1034</v>
      </c>
      <c r="D505" t="str">
        <f>CONCATENATE("0130017919","")</f>
        <v>0130017919</v>
      </c>
      <c r="E505" t="str">
        <f>CONCATENATE("0121070002100       ","")</f>
        <v>0121070002100       </v>
      </c>
      <c r="F505" t="str">
        <f>CONCATENATE("90601691","")</f>
        <v>90601691</v>
      </c>
      <c r="G505" t="s">
        <v>1118</v>
      </c>
      <c r="H505" t="s">
        <v>1119</v>
      </c>
      <c r="I505" t="s">
        <v>1120</v>
      </c>
      <c r="J505" t="str">
        <f aca="true" t="shared" si="77" ref="J505:J536">CONCATENATE("081212","")</f>
        <v>081212</v>
      </c>
      <c r="K505" t="s">
        <v>21</v>
      </c>
      <c r="L505" t="s">
        <v>22</v>
      </c>
      <c r="M505" t="str">
        <f t="shared" si="76"/>
        <v>1</v>
      </c>
      <c r="O505" t="str">
        <f t="shared" si="75"/>
        <v>1 </v>
      </c>
      <c r="P505">
        <v>17.8</v>
      </c>
      <c r="Q505" t="s">
        <v>23</v>
      </c>
    </row>
    <row r="506" spans="1:17" ht="15">
      <c r="A506" t="s">
        <v>17</v>
      </c>
      <c r="B506" s="1">
        <v>41807</v>
      </c>
      <c r="C506" t="s">
        <v>1034</v>
      </c>
      <c r="D506" t="str">
        <f>CONCATENATE("0130017945","")</f>
        <v>0130017945</v>
      </c>
      <c r="E506" t="str">
        <f>CONCATENATE("0121070002190       ","")</f>
        <v>0121070002190       </v>
      </c>
      <c r="F506" t="str">
        <f>CONCATENATE("90601053","")</f>
        <v>90601053</v>
      </c>
      <c r="G506" t="s">
        <v>1118</v>
      </c>
      <c r="H506" t="s">
        <v>1121</v>
      </c>
      <c r="I506" t="s">
        <v>1120</v>
      </c>
      <c r="J506" t="str">
        <f t="shared" si="77"/>
        <v>081212</v>
      </c>
      <c r="K506" t="s">
        <v>21</v>
      </c>
      <c r="L506" t="s">
        <v>22</v>
      </c>
      <c r="M506" t="str">
        <f t="shared" si="76"/>
        <v>1</v>
      </c>
      <c r="O506" t="str">
        <f t="shared" si="75"/>
        <v>1 </v>
      </c>
      <c r="P506">
        <v>13.9</v>
      </c>
      <c r="Q506" t="s">
        <v>23</v>
      </c>
    </row>
    <row r="507" spans="1:17" ht="15">
      <c r="A507" t="s">
        <v>17</v>
      </c>
      <c r="B507" s="1">
        <v>41807</v>
      </c>
      <c r="C507" t="s">
        <v>1034</v>
      </c>
      <c r="D507" t="str">
        <f>CONCATENATE("0130017939","")</f>
        <v>0130017939</v>
      </c>
      <c r="E507" t="str">
        <f>CONCATENATE("0121070002570       ","")</f>
        <v>0121070002570       </v>
      </c>
      <c r="F507" t="str">
        <f>CONCATENATE("90601690","")</f>
        <v>90601690</v>
      </c>
      <c r="G507" t="s">
        <v>1118</v>
      </c>
      <c r="H507" t="s">
        <v>1122</v>
      </c>
      <c r="I507" t="s">
        <v>1120</v>
      </c>
      <c r="J507" t="str">
        <f t="shared" si="77"/>
        <v>081212</v>
      </c>
      <c r="K507" t="s">
        <v>21</v>
      </c>
      <c r="L507" t="s">
        <v>22</v>
      </c>
      <c r="M507" t="str">
        <f t="shared" si="76"/>
        <v>1</v>
      </c>
      <c r="O507" t="str">
        <f t="shared" si="75"/>
        <v>1 </v>
      </c>
      <c r="P507">
        <v>14.95</v>
      </c>
      <c r="Q507" t="s">
        <v>23</v>
      </c>
    </row>
    <row r="508" spans="1:17" ht="15">
      <c r="A508" t="s">
        <v>17</v>
      </c>
      <c r="B508" s="1">
        <v>41807</v>
      </c>
      <c r="C508" t="s">
        <v>1034</v>
      </c>
      <c r="D508" t="str">
        <f>CONCATENATE("0130017943","")</f>
        <v>0130017943</v>
      </c>
      <c r="E508" t="str">
        <f>CONCATENATE("0121070002610       ","")</f>
        <v>0121070002610       </v>
      </c>
      <c r="F508" t="str">
        <f>CONCATENATE("90600917","")</f>
        <v>90600917</v>
      </c>
      <c r="G508" t="s">
        <v>1118</v>
      </c>
      <c r="H508" t="s">
        <v>1123</v>
      </c>
      <c r="I508" t="s">
        <v>1120</v>
      </c>
      <c r="J508" t="str">
        <f t="shared" si="77"/>
        <v>081212</v>
      </c>
      <c r="K508" t="s">
        <v>21</v>
      </c>
      <c r="L508" t="s">
        <v>22</v>
      </c>
      <c r="M508" t="str">
        <f t="shared" si="76"/>
        <v>1</v>
      </c>
      <c r="O508" t="str">
        <f t="shared" si="75"/>
        <v>1 </v>
      </c>
      <c r="P508">
        <v>13</v>
      </c>
      <c r="Q508" t="s">
        <v>23</v>
      </c>
    </row>
    <row r="509" spans="1:17" ht="15">
      <c r="A509" t="s">
        <v>17</v>
      </c>
      <c r="B509" s="1">
        <v>41807</v>
      </c>
      <c r="C509" t="s">
        <v>1034</v>
      </c>
      <c r="D509" t="str">
        <f>CONCATENATE("0130019118","")</f>
        <v>0130019118</v>
      </c>
      <c r="E509" t="str">
        <f>CONCATENATE("0121075001010       ","")</f>
        <v>0121075001010       </v>
      </c>
      <c r="F509" t="str">
        <f>CONCATENATE("90500416","")</f>
        <v>90500416</v>
      </c>
      <c r="G509" t="s">
        <v>1124</v>
      </c>
      <c r="H509" t="s">
        <v>1125</v>
      </c>
      <c r="I509" t="s">
        <v>1126</v>
      </c>
      <c r="J509" t="str">
        <f t="shared" si="77"/>
        <v>081212</v>
      </c>
      <c r="K509" t="s">
        <v>21</v>
      </c>
      <c r="L509" t="s">
        <v>22</v>
      </c>
      <c r="M509" t="str">
        <f t="shared" si="76"/>
        <v>1</v>
      </c>
      <c r="O509" t="str">
        <f t="shared" si="75"/>
        <v>1 </v>
      </c>
      <c r="P509">
        <v>13.6</v>
      </c>
      <c r="Q509" t="s">
        <v>23</v>
      </c>
    </row>
    <row r="510" spans="1:17" ht="15">
      <c r="A510" t="s">
        <v>17</v>
      </c>
      <c r="B510" s="1">
        <v>41807</v>
      </c>
      <c r="C510" t="s">
        <v>1034</v>
      </c>
      <c r="D510" t="str">
        <f>CONCATENATE("0130021564","")</f>
        <v>0130021564</v>
      </c>
      <c r="E510" t="str">
        <f>CONCATENATE("0121080001011       ","")</f>
        <v>0121080001011       </v>
      </c>
      <c r="F510" t="str">
        <f>CONCATENATE("90500466","")</f>
        <v>90500466</v>
      </c>
      <c r="G510" t="s">
        <v>1127</v>
      </c>
      <c r="H510" t="s">
        <v>1128</v>
      </c>
      <c r="I510" t="s">
        <v>1129</v>
      </c>
      <c r="J510" t="str">
        <f t="shared" si="77"/>
        <v>081212</v>
      </c>
      <c r="K510" t="s">
        <v>21</v>
      </c>
      <c r="L510" t="s">
        <v>22</v>
      </c>
      <c r="M510" t="str">
        <f t="shared" si="76"/>
        <v>1</v>
      </c>
      <c r="O510" t="str">
        <f t="shared" si="75"/>
        <v>1 </v>
      </c>
      <c r="P510">
        <v>24.1</v>
      </c>
      <c r="Q510" t="s">
        <v>23</v>
      </c>
    </row>
    <row r="511" spans="1:17" ht="15">
      <c r="A511" t="s">
        <v>17</v>
      </c>
      <c r="B511" s="1">
        <v>41807</v>
      </c>
      <c r="C511" t="s">
        <v>1034</v>
      </c>
      <c r="D511" t="str">
        <f>CONCATENATE("0130019035","")</f>
        <v>0130019035</v>
      </c>
      <c r="E511" t="str">
        <f>CONCATENATE("0121080001110       ","")</f>
        <v>0121080001110       </v>
      </c>
      <c r="F511" t="str">
        <f>CONCATENATE("90500479","")</f>
        <v>90500479</v>
      </c>
      <c r="G511" t="s">
        <v>1127</v>
      </c>
      <c r="H511" t="s">
        <v>1130</v>
      </c>
      <c r="I511" t="s">
        <v>1131</v>
      </c>
      <c r="J511" t="str">
        <f t="shared" si="77"/>
        <v>081212</v>
      </c>
      <c r="K511" t="s">
        <v>21</v>
      </c>
      <c r="L511" t="s">
        <v>22</v>
      </c>
      <c r="M511" t="str">
        <f t="shared" si="76"/>
        <v>1</v>
      </c>
      <c r="O511" t="str">
        <f t="shared" si="75"/>
        <v>1 </v>
      </c>
      <c r="P511">
        <v>11.95</v>
      </c>
      <c r="Q511" t="s">
        <v>23</v>
      </c>
    </row>
    <row r="512" spans="1:17" ht="15">
      <c r="A512" t="s">
        <v>17</v>
      </c>
      <c r="B512" s="1">
        <v>41807</v>
      </c>
      <c r="C512" t="s">
        <v>1034</v>
      </c>
      <c r="D512" t="str">
        <f>CONCATENATE("0130019023","")</f>
        <v>0130019023</v>
      </c>
      <c r="E512" t="str">
        <f>CONCATENATE("0121080002030       ","")</f>
        <v>0121080002030       </v>
      </c>
      <c r="F512" t="str">
        <f>CONCATENATE("80500464","")</f>
        <v>80500464</v>
      </c>
      <c r="G512" t="s">
        <v>1127</v>
      </c>
      <c r="H512" t="s">
        <v>1132</v>
      </c>
      <c r="I512" t="s">
        <v>1131</v>
      </c>
      <c r="J512" t="str">
        <f t="shared" si="77"/>
        <v>081212</v>
      </c>
      <c r="K512" t="s">
        <v>21</v>
      </c>
      <c r="L512" t="s">
        <v>22</v>
      </c>
      <c r="M512" t="str">
        <f t="shared" si="76"/>
        <v>1</v>
      </c>
      <c r="O512" t="str">
        <f t="shared" si="75"/>
        <v>1 </v>
      </c>
      <c r="P512">
        <v>12.25</v>
      </c>
      <c r="Q512" t="s">
        <v>23</v>
      </c>
    </row>
    <row r="513" spans="1:17" ht="15">
      <c r="A513" t="s">
        <v>17</v>
      </c>
      <c r="B513" s="1">
        <v>41807</v>
      </c>
      <c r="C513" t="s">
        <v>1034</v>
      </c>
      <c r="D513" t="str">
        <f>CONCATENATE("0040033455","")</f>
        <v>0040033455</v>
      </c>
      <c r="E513" t="str">
        <f>CONCATENATE("0121080004060       ","")</f>
        <v>0121080004060       </v>
      </c>
      <c r="F513" t="str">
        <f>CONCATENATE("606094806","")</f>
        <v>606094806</v>
      </c>
      <c r="G513" t="s">
        <v>1127</v>
      </c>
      <c r="H513" t="s">
        <v>1133</v>
      </c>
      <c r="I513" t="s">
        <v>1134</v>
      </c>
      <c r="J513" t="str">
        <f t="shared" si="77"/>
        <v>081212</v>
      </c>
      <c r="K513" t="s">
        <v>21</v>
      </c>
      <c r="L513" t="s">
        <v>22</v>
      </c>
      <c r="M513" t="str">
        <f t="shared" si="76"/>
        <v>1</v>
      </c>
      <c r="O513" t="str">
        <f>CONCATENATE("4 ","")</f>
        <v>4 </v>
      </c>
      <c r="P513">
        <v>32.75</v>
      </c>
      <c r="Q513" t="s">
        <v>23</v>
      </c>
    </row>
    <row r="514" spans="1:17" ht="15">
      <c r="A514" t="s">
        <v>17</v>
      </c>
      <c r="B514" s="1">
        <v>41807</v>
      </c>
      <c r="C514" t="s">
        <v>1034</v>
      </c>
      <c r="D514" t="str">
        <f>CONCATENATE("0040024303","")</f>
        <v>0040024303</v>
      </c>
      <c r="E514" t="str">
        <f>CONCATENATE("0121101000034       ","")</f>
        <v>0121101000034       </v>
      </c>
      <c r="F514" t="str">
        <f>CONCATENATE("1871470","")</f>
        <v>1871470</v>
      </c>
      <c r="G514" t="s">
        <v>1135</v>
      </c>
      <c r="H514" t="s">
        <v>1136</v>
      </c>
      <c r="I514" t="s">
        <v>1137</v>
      </c>
      <c r="J514" t="str">
        <f t="shared" si="77"/>
        <v>081212</v>
      </c>
      <c r="K514" t="s">
        <v>21</v>
      </c>
      <c r="L514" t="s">
        <v>22</v>
      </c>
      <c r="M514" t="str">
        <f>CONCATENATE("2","")</f>
        <v>2</v>
      </c>
      <c r="O514" t="str">
        <f aca="true" t="shared" si="78" ref="O514:O535">CONCATENATE("1 ","")</f>
        <v>1 </v>
      </c>
      <c r="P514">
        <v>33.3</v>
      </c>
      <c r="Q514" t="s">
        <v>23</v>
      </c>
    </row>
    <row r="515" spans="1:17" ht="15">
      <c r="A515" t="s">
        <v>17</v>
      </c>
      <c r="B515" s="1">
        <v>41807</v>
      </c>
      <c r="C515" t="s">
        <v>1034</v>
      </c>
      <c r="D515" t="str">
        <f>CONCATENATE("0130007749","")</f>
        <v>0130007749</v>
      </c>
      <c r="E515" t="str">
        <f>CONCATENATE("0121101000040       ","")</f>
        <v>0121101000040       </v>
      </c>
      <c r="F515" t="str">
        <f>CONCATENATE("605390623","")</f>
        <v>605390623</v>
      </c>
      <c r="G515" t="s">
        <v>1135</v>
      </c>
      <c r="H515" t="s">
        <v>1138</v>
      </c>
      <c r="I515" t="s">
        <v>1139</v>
      </c>
      <c r="J515" t="str">
        <f t="shared" si="77"/>
        <v>081212</v>
      </c>
      <c r="K515" t="s">
        <v>21</v>
      </c>
      <c r="L515" t="s">
        <v>22</v>
      </c>
      <c r="M515" t="str">
        <f aca="true" t="shared" si="79" ref="M515:M530">CONCATENATE("1","")</f>
        <v>1</v>
      </c>
      <c r="O515" t="str">
        <f t="shared" si="78"/>
        <v>1 </v>
      </c>
      <c r="P515">
        <v>30.2</v>
      </c>
      <c r="Q515" t="s">
        <v>23</v>
      </c>
    </row>
    <row r="516" spans="1:17" ht="15">
      <c r="A516" t="s">
        <v>17</v>
      </c>
      <c r="B516" s="1">
        <v>41807</v>
      </c>
      <c r="C516" t="s">
        <v>1034</v>
      </c>
      <c r="D516" t="str">
        <f>CONCATENATE("0130015047","")</f>
        <v>0130015047</v>
      </c>
      <c r="E516" t="str">
        <f>CONCATENATE("0121101000285       ","")</f>
        <v>0121101000285       </v>
      </c>
      <c r="F516" t="str">
        <f>CONCATENATE("605086697","")</f>
        <v>605086697</v>
      </c>
      <c r="G516" t="s">
        <v>1140</v>
      </c>
      <c r="H516" t="s">
        <v>1141</v>
      </c>
      <c r="I516" t="s">
        <v>1142</v>
      </c>
      <c r="J516" t="str">
        <f t="shared" si="77"/>
        <v>081212</v>
      </c>
      <c r="K516" t="s">
        <v>21</v>
      </c>
      <c r="L516" t="s">
        <v>22</v>
      </c>
      <c r="M516" t="str">
        <f t="shared" si="79"/>
        <v>1</v>
      </c>
      <c r="O516" t="str">
        <f t="shared" si="78"/>
        <v>1 </v>
      </c>
      <c r="P516">
        <v>25.95</v>
      </c>
      <c r="Q516" t="s">
        <v>23</v>
      </c>
    </row>
    <row r="517" spans="1:17" ht="15">
      <c r="A517" t="s">
        <v>17</v>
      </c>
      <c r="B517" s="1">
        <v>41807</v>
      </c>
      <c r="C517" t="s">
        <v>1034</v>
      </c>
      <c r="D517" t="str">
        <f>CONCATENATE("0040027707","")</f>
        <v>0040027707</v>
      </c>
      <c r="E517" t="str">
        <f>CONCATENATE("0121101000319       ","")</f>
        <v>0121101000319       </v>
      </c>
      <c r="F517" t="str">
        <f>CONCATENATE("2128008","")</f>
        <v>2128008</v>
      </c>
      <c r="G517" t="s">
        <v>1140</v>
      </c>
      <c r="H517" t="s">
        <v>1143</v>
      </c>
      <c r="I517" t="s">
        <v>1144</v>
      </c>
      <c r="J517" t="str">
        <f t="shared" si="77"/>
        <v>081212</v>
      </c>
      <c r="K517" t="s">
        <v>21</v>
      </c>
      <c r="L517" t="s">
        <v>22</v>
      </c>
      <c r="M517" t="str">
        <f t="shared" si="79"/>
        <v>1</v>
      </c>
      <c r="O517" t="str">
        <f t="shared" si="78"/>
        <v>1 </v>
      </c>
      <c r="P517">
        <v>25.9</v>
      </c>
      <c r="Q517" t="s">
        <v>23</v>
      </c>
    </row>
    <row r="518" spans="1:17" ht="15">
      <c r="A518" t="s">
        <v>17</v>
      </c>
      <c r="B518" s="1">
        <v>41807</v>
      </c>
      <c r="C518" t="s">
        <v>1034</v>
      </c>
      <c r="D518" t="str">
        <f>CONCATENATE("0130008055","")</f>
        <v>0130008055</v>
      </c>
      <c r="E518" t="str">
        <f>CONCATENATE("0121101000346       ","")</f>
        <v>0121101000346       </v>
      </c>
      <c r="F518" t="str">
        <f>CONCATENATE("0606029660","")</f>
        <v>0606029660</v>
      </c>
      <c r="G518" t="s">
        <v>1135</v>
      </c>
      <c r="H518" t="s">
        <v>1145</v>
      </c>
      <c r="I518" t="s">
        <v>1146</v>
      </c>
      <c r="J518" t="str">
        <f t="shared" si="77"/>
        <v>081212</v>
      </c>
      <c r="K518" t="s">
        <v>21</v>
      </c>
      <c r="L518" t="s">
        <v>22</v>
      </c>
      <c r="M518" t="str">
        <f t="shared" si="79"/>
        <v>1</v>
      </c>
      <c r="O518" t="str">
        <f t="shared" si="78"/>
        <v>1 </v>
      </c>
      <c r="P518">
        <v>34.5</v>
      </c>
      <c r="Q518" t="s">
        <v>23</v>
      </c>
    </row>
    <row r="519" spans="1:17" ht="15">
      <c r="A519" t="s">
        <v>17</v>
      </c>
      <c r="B519" s="1">
        <v>41807</v>
      </c>
      <c r="C519" t="s">
        <v>1034</v>
      </c>
      <c r="D519" t="str">
        <f>CONCATENATE("0130007789","")</f>
        <v>0130007789</v>
      </c>
      <c r="E519" t="str">
        <f>CONCATENATE("0121101000460       ","")</f>
        <v>0121101000460       </v>
      </c>
      <c r="F519" t="str">
        <f>CONCATENATE("605121479","")</f>
        <v>605121479</v>
      </c>
      <c r="G519" t="s">
        <v>1135</v>
      </c>
      <c r="H519" t="s">
        <v>1147</v>
      </c>
      <c r="I519" t="s">
        <v>1148</v>
      </c>
      <c r="J519" t="str">
        <f t="shared" si="77"/>
        <v>081212</v>
      </c>
      <c r="K519" t="s">
        <v>21</v>
      </c>
      <c r="L519" t="s">
        <v>22</v>
      </c>
      <c r="M519" t="str">
        <f t="shared" si="79"/>
        <v>1</v>
      </c>
      <c r="O519" t="str">
        <f t="shared" si="78"/>
        <v>1 </v>
      </c>
      <c r="P519">
        <v>19.05</v>
      </c>
      <c r="Q519" t="s">
        <v>23</v>
      </c>
    </row>
    <row r="520" spans="1:17" ht="15">
      <c r="A520" t="s">
        <v>17</v>
      </c>
      <c r="B520" s="1">
        <v>41807</v>
      </c>
      <c r="C520" t="s">
        <v>1034</v>
      </c>
      <c r="D520" t="str">
        <f>CONCATENATE("0130007795","")</f>
        <v>0130007795</v>
      </c>
      <c r="E520" t="str">
        <f>CONCATENATE("0121101000530       ","")</f>
        <v>0121101000530       </v>
      </c>
      <c r="F520" t="str">
        <f>CONCATENATE("2189854","")</f>
        <v>2189854</v>
      </c>
      <c r="G520" t="s">
        <v>1135</v>
      </c>
      <c r="H520" t="s">
        <v>1149</v>
      </c>
      <c r="I520" t="s">
        <v>1150</v>
      </c>
      <c r="J520" t="str">
        <f t="shared" si="77"/>
        <v>081212</v>
      </c>
      <c r="K520" t="s">
        <v>21</v>
      </c>
      <c r="L520" t="s">
        <v>22</v>
      </c>
      <c r="M520" t="str">
        <f t="shared" si="79"/>
        <v>1</v>
      </c>
      <c r="O520" t="str">
        <f t="shared" si="78"/>
        <v>1 </v>
      </c>
      <c r="P520">
        <v>50.6</v>
      </c>
      <c r="Q520" t="s">
        <v>23</v>
      </c>
    </row>
    <row r="521" spans="1:17" ht="15">
      <c r="A521" t="s">
        <v>17</v>
      </c>
      <c r="B521" s="1">
        <v>41807</v>
      </c>
      <c r="C521" t="s">
        <v>1034</v>
      </c>
      <c r="D521" t="str">
        <f>CONCATENATE("0130007805","")</f>
        <v>0130007805</v>
      </c>
      <c r="E521" t="str">
        <f>CONCATENATE("0121101000630       ","")</f>
        <v>0121101000630       </v>
      </c>
      <c r="F521" t="str">
        <f>CONCATENATE("605291039","")</f>
        <v>605291039</v>
      </c>
      <c r="G521" t="s">
        <v>1135</v>
      </c>
      <c r="H521" t="s">
        <v>1151</v>
      </c>
      <c r="I521" t="s">
        <v>1152</v>
      </c>
      <c r="J521" t="str">
        <f t="shared" si="77"/>
        <v>081212</v>
      </c>
      <c r="K521" t="s">
        <v>21</v>
      </c>
      <c r="L521" t="s">
        <v>22</v>
      </c>
      <c r="M521" t="str">
        <f t="shared" si="79"/>
        <v>1</v>
      </c>
      <c r="O521" t="str">
        <f t="shared" si="78"/>
        <v>1 </v>
      </c>
      <c r="P521">
        <v>18.65</v>
      </c>
      <c r="Q521" t="s">
        <v>23</v>
      </c>
    </row>
    <row r="522" spans="1:17" ht="15">
      <c r="A522" t="s">
        <v>17</v>
      </c>
      <c r="B522" s="1">
        <v>41807</v>
      </c>
      <c r="C522" t="s">
        <v>1034</v>
      </c>
      <c r="D522" t="str">
        <f>CONCATENATE("0130007830","")</f>
        <v>0130007830</v>
      </c>
      <c r="E522" t="str">
        <f>CONCATENATE("0121101000890       ","")</f>
        <v>0121101000890       </v>
      </c>
      <c r="F522" t="str">
        <f>CONCATENATE("2184596","")</f>
        <v>2184596</v>
      </c>
      <c r="G522" t="s">
        <v>1140</v>
      </c>
      <c r="H522" t="s">
        <v>1153</v>
      </c>
      <c r="I522" t="s">
        <v>1154</v>
      </c>
      <c r="J522" t="str">
        <f t="shared" si="77"/>
        <v>081212</v>
      </c>
      <c r="K522" t="s">
        <v>21</v>
      </c>
      <c r="L522" t="s">
        <v>22</v>
      </c>
      <c r="M522" t="str">
        <f t="shared" si="79"/>
        <v>1</v>
      </c>
      <c r="O522" t="str">
        <f t="shared" si="78"/>
        <v>1 </v>
      </c>
      <c r="P522">
        <v>13.3</v>
      </c>
      <c r="Q522" t="s">
        <v>23</v>
      </c>
    </row>
    <row r="523" spans="1:17" ht="15">
      <c r="A523" t="s">
        <v>17</v>
      </c>
      <c r="B523" s="1">
        <v>41807</v>
      </c>
      <c r="C523" t="s">
        <v>1034</v>
      </c>
      <c r="D523" t="str">
        <f>CONCATENATE("0130007833","")</f>
        <v>0130007833</v>
      </c>
      <c r="E523" t="str">
        <f>CONCATENATE("0121101000920       ","")</f>
        <v>0121101000920       </v>
      </c>
      <c r="F523" t="str">
        <f>CONCATENATE("2184589","")</f>
        <v>2184589</v>
      </c>
      <c r="G523" t="s">
        <v>1140</v>
      </c>
      <c r="H523" t="s">
        <v>1155</v>
      </c>
      <c r="I523" t="s">
        <v>1154</v>
      </c>
      <c r="J523" t="str">
        <f t="shared" si="77"/>
        <v>081212</v>
      </c>
      <c r="K523" t="s">
        <v>21</v>
      </c>
      <c r="L523" t="s">
        <v>22</v>
      </c>
      <c r="M523" t="str">
        <f t="shared" si="79"/>
        <v>1</v>
      </c>
      <c r="O523" t="str">
        <f t="shared" si="78"/>
        <v>1 </v>
      </c>
      <c r="P523">
        <v>12.2</v>
      </c>
      <c r="Q523" t="s">
        <v>23</v>
      </c>
    </row>
    <row r="524" spans="1:17" ht="15">
      <c r="A524" t="s">
        <v>17</v>
      </c>
      <c r="B524" s="1">
        <v>41807</v>
      </c>
      <c r="C524" t="s">
        <v>1034</v>
      </c>
      <c r="D524" t="str">
        <f>CONCATENATE("0040028375","")</f>
        <v>0040028375</v>
      </c>
      <c r="E524" t="str">
        <f>CONCATENATE("0121101000956       ","")</f>
        <v>0121101000956       </v>
      </c>
      <c r="F524" t="str">
        <f>CONCATENATE("1861536","")</f>
        <v>1861536</v>
      </c>
      <c r="G524" t="s">
        <v>1140</v>
      </c>
      <c r="H524" t="s">
        <v>1156</v>
      </c>
      <c r="I524" t="s">
        <v>1157</v>
      </c>
      <c r="J524" t="str">
        <f t="shared" si="77"/>
        <v>081212</v>
      </c>
      <c r="K524" t="s">
        <v>21</v>
      </c>
      <c r="L524" t="s">
        <v>22</v>
      </c>
      <c r="M524" t="str">
        <f t="shared" si="79"/>
        <v>1</v>
      </c>
      <c r="O524" t="str">
        <f t="shared" si="78"/>
        <v>1 </v>
      </c>
      <c r="P524">
        <v>11.4</v>
      </c>
      <c r="Q524" t="s">
        <v>23</v>
      </c>
    </row>
    <row r="525" spans="1:17" ht="15">
      <c r="A525" t="s">
        <v>17</v>
      </c>
      <c r="B525" s="1">
        <v>41807</v>
      </c>
      <c r="C525" t="s">
        <v>1034</v>
      </c>
      <c r="D525" t="str">
        <f>CONCATENATE("0130007841","")</f>
        <v>0130007841</v>
      </c>
      <c r="E525" t="str">
        <f>CONCATENATE("0121101001010       ","")</f>
        <v>0121101001010       </v>
      </c>
      <c r="F525" t="str">
        <f>CONCATENATE("605121490","")</f>
        <v>605121490</v>
      </c>
      <c r="G525" t="s">
        <v>1135</v>
      </c>
      <c r="H525" t="s">
        <v>1158</v>
      </c>
      <c r="I525" t="s">
        <v>1159</v>
      </c>
      <c r="J525" t="str">
        <f t="shared" si="77"/>
        <v>081212</v>
      </c>
      <c r="K525" t="s">
        <v>21</v>
      </c>
      <c r="L525" t="s">
        <v>22</v>
      </c>
      <c r="M525" t="str">
        <f t="shared" si="79"/>
        <v>1</v>
      </c>
      <c r="O525" t="str">
        <f t="shared" si="78"/>
        <v>1 </v>
      </c>
      <c r="P525">
        <v>54.3</v>
      </c>
      <c r="Q525" t="s">
        <v>23</v>
      </c>
    </row>
    <row r="526" spans="1:17" ht="15">
      <c r="A526" t="s">
        <v>17</v>
      </c>
      <c r="B526" s="1">
        <v>41807</v>
      </c>
      <c r="C526" t="s">
        <v>1034</v>
      </c>
      <c r="D526" t="str">
        <f>CONCATENATE("0130007857","")</f>
        <v>0130007857</v>
      </c>
      <c r="E526" t="str">
        <f>CONCATENATE("0121101001160       ","")</f>
        <v>0121101001160       </v>
      </c>
      <c r="F526" t="str">
        <f>CONCATENATE("605121499","")</f>
        <v>605121499</v>
      </c>
      <c r="G526" t="s">
        <v>1135</v>
      </c>
      <c r="H526" t="s">
        <v>1160</v>
      </c>
      <c r="I526" t="s">
        <v>1159</v>
      </c>
      <c r="J526" t="str">
        <f t="shared" si="77"/>
        <v>081212</v>
      </c>
      <c r="K526" t="s">
        <v>21</v>
      </c>
      <c r="L526" t="s">
        <v>22</v>
      </c>
      <c r="M526" t="str">
        <f t="shared" si="79"/>
        <v>1</v>
      </c>
      <c r="O526" t="str">
        <f t="shared" si="78"/>
        <v>1 </v>
      </c>
      <c r="P526">
        <v>45.5</v>
      </c>
      <c r="Q526" t="s">
        <v>23</v>
      </c>
    </row>
    <row r="527" spans="1:17" ht="15">
      <c r="A527" t="s">
        <v>17</v>
      </c>
      <c r="B527" s="1">
        <v>41807</v>
      </c>
      <c r="C527" t="s">
        <v>1034</v>
      </c>
      <c r="D527" t="str">
        <f>CONCATENATE("0130007885","")</f>
        <v>0130007885</v>
      </c>
      <c r="E527" t="str">
        <f>CONCATENATE("0121101001440       ","")</f>
        <v>0121101001440       </v>
      </c>
      <c r="F527" t="str">
        <f>CONCATENATE("605282880","")</f>
        <v>605282880</v>
      </c>
      <c r="G527" t="s">
        <v>1135</v>
      </c>
      <c r="H527" t="s">
        <v>1161</v>
      </c>
      <c r="I527" t="s">
        <v>1162</v>
      </c>
      <c r="J527" t="str">
        <f t="shared" si="77"/>
        <v>081212</v>
      </c>
      <c r="K527" t="s">
        <v>21</v>
      </c>
      <c r="L527" t="s">
        <v>22</v>
      </c>
      <c r="M527" t="str">
        <f t="shared" si="79"/>
        <v>1</v>
      </c>
      <c r="O527" t="str">
        <f t="shared" si="78"/>
        <v>1 </v>
      </c>
      <c r="P527">
        <v>25.2</v>
      </c>
      <c r="Q527" t="s">
        <v>23</v>
      </c>
    </row>
    <row r="528" spans="1:17" ht="15">
      <c r="A528" t="s">
        <v>17</v>
      </c>
      <c r="B528" s="1">
        <v>41807</v>
      </c>
      <c r="C528" t="s">
        <v>1034</v>
      </c>
      <c r="D528" t="str">
        <f>CONCATENATE("0130007888","")</f>
        <v>0130007888</v>
      </c>
      <c r="E528" t="str">
        <f>CONCATENATE("0121101001470       ","")</f>
        <v>0121101001470       </v>
      </c>
      <c r="F528" t="str">
        <f>CONCATENATE("605743840","")</f>
        <v>605743840</v>
      </c>
      <c r="G528" t="s">
        <v>1135</v>
      </c>
      <c r="H528" t="s">
        <v>1163</v>
      </c>
      <c r="I528" t="s">
        <v>1162</v>
      </c>
      <c r="J528" t="str">
        <f t="shared" si="77"/>
        <v>081212</v>
      </c>
      <c r="K528" t="s">
        <v>21</v>
      </c>
      <c r="L528" t="s">
        <v>22</v>
      </c>
      <c r="M528" t="str">
        <f t="shared" si="79"/>
        <v>1</v>
      </c>
      <c r="O528" t="str">
        <f t="shared" si="78"/>
        <v>1 </v>
      </c>
      <c r="P528">
        <v>15.25</v>
      </c>
      <c r="Q528" t="s">
        <v>23</v>
      </c>
    </row>
    <row r="529" spans="1:17" ht="15">
      <c r="A529" t="s">
        <v>17</v>
      </c>
      <c r="B529" s="1">
        <v>41807</v>
      </c>
      <c r="C529" t="s">
        <v>1034</v>
      </c>
      <c r="D529" t="str">
        <f>CONCATENATE("0040026917","")</f>
        <v>0040026917</v>
      </c>
      <c r="E529" t="str">
        <f>CONCATENATE("0121101001485       ","")</f>
        <v>0121101001485       </v>
      </c>
      <c r="F529" t="str">
        <f>CONCATENATE("2129446","")</f>
        <v>2129446</v>
      </c>
      <c r="G529" t="s">
        <v>1140</v>
      </c>
      <c r="H529" t="s">
        <v>1164</v>
      </c>
      <c r="I529" t="s">
        <v>1165</v>
      </c>
      <c r="J529" t="str">
        <f t="shared" si="77"/>
        <v>081212</v>
      </c>
      <c r="K529" t="s">
        <v>21</v>
      </c>
      <c r="L529" t="s">
        <v>22</v>
      </c>
      <c r="M529" t="str">
        <f t="shared" si="79"/>
        <v>1</v>
      </c>
      <c r="O529" t="str">
        <f t="shared" si="78"/>
        <v>1 </v>
      </c>
      <c r="P529">
        <v>19.25</v>
      </c>
      <c r="Q529" t="s">
        <v>23</v>
      </c>
    </row>
    <row r="530" spans="1:17" ht="15">
      <c r="A530" t="s">
        <v>17</v>
      </c>
      <c r="B530" s="1">
        <v>41807</v>
      </c>
      <c r="C530" t="s">
        <v>1034</v>
      </c>
      <c r="D530" t="str">
        <f>CONCATENATE("0130007915","")</f>
        <v>0130007915</v>
      </c>
      <c r="E530" t="str">
        <f>CONCATENATE("0121101001780       ","")</f>
        <v>0121101001780       </v>
      </c>
      <c r="F530" t="str">
        <f>CONCATENATE("605291663","")</f>
        <v>605291663</v>
      </c>
      <c r="G530" t="s">
        <v>1140</v>
      </c>
      <c r="H530" t="s">
        <v>1166</v>
      </c>
      <c r="I530" t="s">
        <v>1167</v>
      </c>
      <c r="J530" t="str">
        <f t="shared" si="77"/>
        <v>081212</v>
      </c>
      <c r="K530" t="s">
        <v>21</v>
      </c>
      <c r="L530" t="s">
        <v>22</v>
      </c>
      <c r="M530" t="str">
        <f t="shared" si="79"/>
        <v>1</v>
      </c>
      <c r="O530" t="str">
        <f t="shared" si="78"/>
        <v>1 </v>
      </c>
      <c r="P530">
        <v>19.2</v>
      </c>
      <c r="Q530" t="s">
        <v>23</v>
      </c>
    </row>
    <row r="531" spans="1:17" ht="15">
      <c r="A531" t="s">
        <v>17</v>
      </c>
      <c r="B531" s="1">
        <v>41807</v>
      </c>
      <c r="C531" t="s">
        <v>1034</v>
      </c>
      <c r="D531" t="str">
        <f>CONCATENATE("0130016565","")</f>
        <v>0130016565</v>
      </c>
      <c r="E531" t="str">
        <f>CONCATENATE("0121101001802       ","")</f>
        <v>0121101001802       </v>
      </c>
      <c r="F531" t="str">
        <f>CONCATENATE("111058","")</f>
        <v>111058</v>
      </c>
      <c r="G531" t="s">
        <v>1140</v>
      </c>
      <c r="H531" t="s">
        <v>1168</v>
      </c>
      <c r="I531" t="s">
        <v>1169</v>
      </c>
      <c r="J531" t="str">
        <f t="shared" si="77"/>
        <v>081212</v>
      </c>
      <c r="K531" t="s">
        <v>21</v>
      </c>
      <c r="L531" t="s">
        <v>22</v>
      </c>
      <c r="M531" t="str">
        <f>CONCATENATE("3","")</f>
        <v>3</v>
      </c>
      <c r="O531" t="str">
        <f t="shared" si="78"/>
        <v>1 </v>
      </c>
      <c r="P531">
        <v>52.6</v>
      </c>
      <c r="Q531" t="s">
        <v>68</v>
      </c>
    </row>
    <row r="532" spans="1:17" ht="15">
      <c r="A532" t="s">
        <v>17</v>
      </c>
      <c r="B532" s="1">
        <v>41807</v>
      </c>
      <c r="C532" t="s">
        <v>1034</v>
      </c>
      <c r="D532" t="str">
        <f>CONCATENATE("0130007958","")</f>
        <v>0130007958</v>
      </c>
      <c r="E532" t="str">
        <f>CONCATENATE("0121101002265       ","")</f>
        <v>0121101002265       </v>
      </c>
      <c r="F532" t="str">
        <f>CONCATENATE("1765753","")</f>
        <v>1765753</v>
      </c>
      <c r="G532" t="s">
        <v>1135</v>
      </c>
      <c r="H532" t="s">
        <v>1170</v>
      </c>
      <c r="I532" t="s">
        <v>1171</v>
      </c>
      <c r="J532" t="str">
        <f t="shared" si="77"/>
        <v>081212</v>
      </c>
      <c r="K532" t="s">
        <v>21</v>
      </c>
      <c r="L532" t="s">
        <v>22</v>
      </c>
      <c r="M532" t="str">
        <f>CONCATENATE("2","")</f>
        <v>2</v>
      </c>
      <c r="O532" t="str">
        <f t="shared" si="78"/>
        <v>1 </v>
      </c>
      <c r="P532">
        <v>19.7</v>
      </c>
      <c r="Q532" t="s">
        <v>23</v>
      </c>
    </row>
    <row r="533" spans="1:17" ht="15">
      <c r="A533" t="s">
        <v>17</v>
      </c>
      <c r="B533" s="1">
        <v>41807</v>
      </c>
      <c r="C533" t="s">
        <v>1034</v>
      </c>
      <c r="D533" t="str">
        <f>CONCATENATE("0130009480","")</f>
        <v>0130009480</v>
      </c>
      <c r="E533" t="str">
        <f>CONCATENATE("0121101002852       ","")</f>
        <v>0121101002852       </v>
      </c>
      <c r="F533" t="str">
        <f>CONCATENATE("07554745","")</f>
        <v>07554745</v>
      </c>
      <c r="G533" t="s">
        <v>1172</v>
      </c>
      <c r="H533" t="s">
        <v>1173</v>
      </c>
      <c r="I533" t="s">
        <v>1174</v>
      </c>
      <c r="J533" t="str">
        <f t="shared" si="77"/>
        <v>081212</v>
      </c>
      <c r="K533" t="s">
        <v>21</v>
      </c>
      <c r="L533" t="s">
        <v>22</v>
      </c>
      <c r="M533" t="str">
        <f>CONCATENATE("1","")</f>
        <v>1</v>
      </c>
      <c r="O533" t="str">
        <f t="shared" si="78"/>
        <v>1 </v>
      </c>
      <c r="P533">
        <v>23</v>
      </c>
      <c r="Q533" t="s">
        <v>23</v>
      </c>
    </row>
    <row r="534" spans="1:17" ht="15">
      <c r="A534" t="s">
        <v>17</v>
      </c>
      <c r="B534" s="1">
        <v>41807</v>
      </c>
      <c r="C534" t="s">
        <v>1034</v>
      </c>
      <c r="D534" t="str">
        <f>CONCATENATE("0130008036","")</f>
        <v>0130008036</v>
      </c>
      <c r="E534" t="str">
        <f>CONCATENATE("0121101003035       ","")</f>
        <v>0121101003035       </v>
      </c>
      <c r="F534" t="str">
        <f>CONCATENATE("111059","")</f>
        <v>111059</v>
      </c>
      <c r="G534" t="s">
        <v>1172</v>
      </c>
      <c r="H534" t="s">
        <v>1175</v>
      </c>
      <c r="I534" t="s">
        <v>265</v>
      </c>
      <c r="J534" t="str">
        <f t="shared" si="77"/>
        <v>081212</v>
      </c>
      <c r="K534" t="s">
        <v>21</v>
      </c>
      <c r="L534" t="s">
        <v>22</v>
      </c>
      <c r="M534" t="str">
        <f>CONCATENATE("3","")</f>
        <v>3</v>
      </c>
      <c r="O534" t="str">
        <f t="shared" si="78"/>
        <v>1 </v>
      </c>
      <c r="P534">
        <v>638.75</v>
      </c>
      <c r="Q534" t="s">
        <v>68</v>
      </c>
    </row>
    <row r="535" spans="1:17" ht="15">
      <c r="A535" t="s">
        <v>17</v>
      </c>
      <c r="B535" s="1">
        <v>41807</v>
      </c>
      <c r="C535" t="s">
        <v>1034</v>
      </c>
      <c r="D535" t="str">
        <f>CONCATENATE("0130015803","")</f>
        <v>0130015803</v>
      </c>
      <c r="E535" t="str">
        <f>CONCATENATE("0121101003170       ","")</f>
        <v>0121101003170       </v>
      </c>
      <c r="F535" t="str">
        <f>CONCATENATE("605281680","")</f>
        <v>605281680</v>
      </c>
      <c r="G535" t="s">
        <v>1140</v>
      </c>
      <c r="H535" t="s">
        <v>1176</v>
      </c>
      <c r="I535" t="s">
        <v>1177</v>
      </c>
      <c r="J535" t="str">
        <f t="shared" si="77"/>
        <v>081212</v>
      </c>
      <c r="K535" t="s">
        <v>21</v>
      </c>
      <c r="L535" t="s">
        <v>22</v>
      </c>
      <c r="M535" t="str">
        <f>CONCATENATE("1","")</f>
        <v>1</v>
      </c>
      <c r="O535" t="str">
        <f t="shared" si="78"/>
        <v>1 </v>
      </c>
      <c r="P535">
        <v>23.65</v>
      </c>
      <c r="Q535" t="s">
        <v>23</v>
      </c>
    </row>
    <row r="536" spans="1:17" ht="15">
      <c r="A536" t="s">
        <v>17</v>
      </c>
      <c r="B536" s="1">
        <v>41807</v>
      </c>
      <c r="C536" t="s">
        <v>1034</v>
      </c>
      <c r="D536" t="str">
        <f>CONCATENATE("0130010102","")</f>
        <v>0130010102</v>
      </c>
      <c r="E536" t="str">
        <f>CONCATENATE("0121101003210       ","")</f>
        <v>0121101003210       </v>
      </c>
      <c r="F536" t="str">
        <f>CONCATENATE("605291028","")</f>
        <v>605291028</v>
      </c>
      <c r="G536" t="s">
        <v>1140</v>
      </c>
      <c r="H536" t="s">
        <v>1178</v>
      </c>
      <c r="I536" t="str">
        <f>CONCATENATE("1RO-DE-MAYO-C-07","")</f>
        <v>1RO-DE-MAYO-C-07</v>
      </c>
      <c r="J536" t="str">
        <f t="shared" si="77"/>
        <v>081212</v>
      </c>
      <c r="K536" t="s">
        <v>21</v>
      </c>
      <c r="L536" t="s">
        <v>22</v>
      </c>
      <c r="M536" t="str">
        <f>CONCATENATE("1","")</f>
        <v>1</v>
      </c>
      <c r="O536" t="str">
        <f>CONCATENATE("2 ","")</f>
        <v>2 </v>
      </c>
      <c r="P536">
        <v>17.15</v>
      </c>
      <c r="Q536" t="s">
        <v>23</v>
      </c>
    </row>
    <row r="537" spans="1:17" ht="15">
      <c r="A537" t="s">
        <v>17</v>
      </c>
      <c r="B537" s="1">
        <v>41807</v>
      </c>
      <c r="C537" t="s">
        <v>1034</v>
      </c>
      <c r="D537" t="str">
        <f>CONCATENATE("0040028135","")</f>
        <v>0040028135</v>
      </c>
      <c r="E537" t="str">
        <f>CONCATENATE("0121101003317       ","")</f>
        <v>0121101003317       </v>
      </c>
      <c r="F537" t="str">
        <f>CONCATENATE("2189315","")</f>
        <v>2189315</v>
      </c>
      <c r="G537" t="s">
        <v>1140</v>
      </c>
      <c r="H537" t="s">
        <v>1179</v>
      </c>
      <c r="I537" t="s">
        <v>1180</v>
      </c>
      <c r="J537" t="str">
        <f aca="true" t="shared" si="80" ref="J537:J568">CONCATENATE("081212","")</f>
        <v>081212</v>
      </c>
      <c r="K537" t="s">
        <v>21</v>
      </c>
      <c r="L537" t="s">
        <v>22</v>
      </c>
      <c r="M537" t="str">
        <f>CONCATENATE("1","")</f>
        <v>1</v>
      </c>
      <c r="O537" t="str">
        <f>CONCATENATE("1 ","")</f>
        <v>1 </v>
      </c>
      <c r="P537">
        <v>31.1</v>
      </c>
      <c r="Q537" t="s">
        <v>23</v>
      </c>
    </row>
    <row r="538" spans="1:17" ht="15">
      <c r="A538" t="s">
        <v>17</v>
      </c>
      <c r="B538" s="1">
        <v>41807</v>
      </c>
      <c r="C538" t="s">
        <v>1034</v>
      </c>
      <c r="D538" t="str">
        <f>CONCATENATE("0040033211","")</f>
        <v>0040033211</v>
      </c>
      <c r="E538" t="str">
        <f>CONCATENATE("0121105001030       ","")</f>
        <v>0121105001030       </v>
      </c>
      <c r="F538" t="str">
        <f>CONCATENATE("606095081","")</f>
        <v>606095081</v>
      </c>
      <c r="G538" t="s">
        <v>1127</v>
      </c>
      <c r="H538" t="s">
        <v>1181</v>
      </c>
      <c r="I538" t="s">
        <v>1182</v>
      </c>
      <c r="J538" t="str">
        <f t="shared" si="80"/>
        <v>081212</v>
      </c>
      <c r="K538" t="s">
        <v>21</v>
      </c>
      <c r="L538" t="s">
        <v>22</v>
      </c>
      <c r="M538" t="str">
        <f>CONCATENATE("1","")</f>
        <v>1</v>
      </c>
      <c r="O538" t="str">
        <f>CONCATENATE("4 ","")</f>
        <v>4 </v>
      </c>
      <c r="P538">
        <v>28.7</v>
      </c>
      <c r="Q538" t="s">
        <v>23</v>
      </c>
    </row>
    <row r="539" spans="1:17" ht="15">
      <c r="A539" t="s">
        <v>17</v>
      </c>
      <c r="B539" s="1">
        <v>41807</v>
      </c>
      <c r="C539" t="s">
        <v>1034</v>
      </c>
      <c r="D539" t="str">
        <f>CONCATENATE("0040033228","")</f>
        <v>0040033228</v>
      </c>
      <c r="E539" t="str">
        <f>CONCATENATE("0121106001070       ","")</f>
        <v>0121106001070       </v>
      </c>
      <c r="F539" t="str">
        <f>CONCATENATE("606143823","")</f>
        <v>606143823</v>
      </c>
      <c r="G539" t="s">
        <v>1127</v>
      </c>
      <c r="H539" t="s">
        <v>1183</v>
      </c>
      <c r="I539" t="s">
        <v>1184</v>
      </c>
      <c r="J539" t="str">
        <f t="shared" si="80"/>
        <v>081212</v>
      </c>
      <c r="K539" t="s">
        <v>21</v>
      </c>
      <c r="L539" t="s">
        <v>22</v>
      </c>
      <c r="M539" t="str">
        <f>CONCATENATE("0","")</f>
        <v>0</v>
      </c>
      <c r="O539" t="str">
        <f aca="true" t="shared" si="81" ref="O539:O556">CONCATENATE("1 ","")</f>
        <v>1 </v>
      </c>
      <c r="P539">
        <v>12.15</v>
      </c>
      <c r="Q539" t="s">
        <v>23</v>
      </c>
    </row>
    <row r="540" spans="1:17" ht="15">
      <c r="A540" t="s">
        <v>17</v>
      </c>
      <c r="B540" s="1">
        <v>41807</v>
      </c>
      <c r="C540" t="s">
        <v>1034</v>
      </c>
      <c r="D540" t="str">
        <f>CONCATENATE("0040033229","")</f>
        <v>0040033229</v>
      </c>
      <c r="E540" t="str">
        <f>CONCATENATE("0121106001080       ","")</f>
        <v>0121106001080       </v>
      </c>
      <c r="F540" t="str">
        <f>CONCATENATE("606143834","")</f>
        <v>606143834</v>
      </c>
      <c r="G540" t="s">
        <v>1127</v>
      </c>
      <c r="H540" t="s">
        <v>1185</v>
      </c>
      <c r="I540" t="s">
        <v>1184</v>
      </c>
      <c r="J540" t="str">
        <f t="shared" si="80"/>
        <v>081212</v>
      </c>
      <c r="K540" t="s">
        <v>21</v>
      </c>
      <c r="L540" t="s">
        <v>22</v>
      </c>
      <c r="M540" t="str">
        <f aca="true" t="shared" si="82" ref="M540:M569">CONCATENATE("1","")</f>
        <v>1</v>
      </c>
      <c r="O540" t="str">
        <f t="shared" si="81"/>
        <v>1 </v>
      </c>
      <c r="P540">
        <v>13</v>
      </c>
      <c r="Q540" t="s">
        <v>23</v>
      </c>
    </row>
    <row r="541" spans="1:17" ht="15">
      <c r="A541" t="s">
        <v>17</v>
      </c>
      <c r="B541" s="1">
        <v>41807</v>
      </c>
      <c r="C541" t="s">
        <v>1034</v>
      </c>
      <c r="D541" t="str">
        <f>CONCATENATE("0040033449","")</f>
        <v>0040033449</v>
      </c>
      <c r="E541" t="str">
        <f>CONCATENATE("0121109001050       ","")</f>
        <v>0121109001050       </v>
      </c>
      <c r="F541" t="str">
        <f>CONCATENATE("606143904","")</f>
        <v>606143904</v>
      </c>
      <c r="G541" t="s">
        <v>1127</v>
      </c>
      <c r="H541" t="s">
        <v>1186</v>
      </c>
      <c r="I541" t="s">
        <v>1187</v>
      </c>
      <c r="J541" t="str">
        <f t="shared" si="80"/>
        <v>081212</v>
      </c>
      <c r="K541" t="s">
        <v>21</v>
      </c>
      <c r="L541" t="s">
        <v>22</v>
      </c>
      <c r="M541" t="str">
        <f t="shared" si="82"/>
        <v>1</v>
      </c>
      <c r="O541" t="str">
        <f t="shared" si="81"/>
        <v>1 </v>
      </c>
      <c r="P541">
        <v>12.15</v>
      </c>
      <c r="Q541" t="s">
        <v>23</v>
      </c>
    </row>
    <row r="542" spans="1:17" ht="15">
      <c r="A542" t="s">
        <v>17</v>
      </c>
      <c r="B542" s="1">
        <v>41807</v>
      </c>
      <c r="C542" t="s">
        <v>1034</v>
      </c>
      <c r="D542" t="str">
        <f>CONCATENATE("0040033448","")</f>
        <v>0040033448</v>
      </c>
      <c r="E542" t="str">
        <f>CONCATENATE("0121109001100       ","")</f>
        <v>0121109001100       </v>
      </c>
      <c r="F542" t="str">
        <f>CONCATENATE("606143906","")</f>
        <v>606143906</v>
      </c>
      <c r="G542" t="s">
        <v>1127</v>
      </c>
      <c r="H542" t="s">
        <v>1188</v>
      </c>
      <c r="I542" t="s">
        <v>1187</v>
      </c>
      <c r="J542" t="str">
        <f t="shared" si="80"/>
        <v>081212</v>
      </c>
      <c r="K542" t="s">
        <v>21</v>
      </c>
      <c r="L542" t="s">
        <v>22</v>
      </c>
      <c r="M542" t="str">
        <f t="shared" si="82"/>
        <v>1</v>
      </c>
      <c r="O542" t="str">
        <f t="shared" si="81"/>
        <v>1 </v>
      </c>
      <c r="P542">
        <v>12.55</v>
      </c>
      <c r="Q542" t="s">
        <v>23</v>
      </c>
    </row>
    <row r="543" spans="1:17" ht="15">
      <c r="A543" t="s">
        <v>17</v>
      </c>
      <c r="B543" s="1">
        <v>41807</v>
      </c>
      <c r="C543" t="s">
        <v>1034</v>
      </c>
      <c r="D543" t="str">
        <f>CONCATENATE("0040033441","")</f>
        <v>0040033441</v>
      </c>
      <c r="E543" t="str">
        <f>CONCATENATE("0121109001110       ","")</f>
        <v>0121109001110       </v>
      </c>
      <c r="F543" t="str">
        <f>CONCATENATE("606143908","")</f>
        <v>606143908</v>
      </c>
      <c r="G543" t="s">
        <v>1127</v>
      </c>
      <c r="H543" t="s">
        <v>1189</v>
      </c>
      <c r="I543" t="s">
        <v>1187</v>
      </c>
      <c r="J543" t="str">
        <f t="shared" si="80"/>
        <v>081212</v>
      </c>
      <c r="K543" t="s">
        <v>21</v>
      </c>
      <c r="L543" t="s">
        <v>22</v>
      </c>
      <c r="M543" t="str">
        <f t="shared" si="82"/>
        <v>1</v>
      </c>
      <c r="O543" t="str">
        <f t="shared" si="81"/>
        <v>1 </v>
      </c>
      <c r="P543">
        <v>16.3</v>
      </c>
      <c r="Q543" t="s">
        <v>23</v>
      </c>
    </row>
    <row r="544" spans="1:17" ht="15">
      <c r="A544" t="s">
        <v>17</v>
      </c>
      <c r="B544" s="1">
        <v>41807</v>
      </c>
      <c r="C544" t="s">
        <v>1034</v>
      </c>
      <c r="D544" t="str">
        <f>CONCATENATE("0040033451","")</f>
        <v>0040033451</v>
      </c>
      <c r="E544" t="str">
        <f>CONCATENATE("0121109002010       ","")</f>
        <v>0121109002010       </v>
      </c>
      <c r="F544" t="str">
        <f>CONCATENATE("606095262","")</f>
        <v>606095262</v>
      </c>
      <c r="G544" t="s">
        <v>1127</v>
      </c>
      <c r="H544" t="s">
        <v>1190</v>
      </c>
      <c r="I544" t="s">
        <v>1187</v>
      </c>
      <c r="J544" t="str">
        <f t="shared" si="80"/>
        <v>081212</v>
      </c>
      <c r="K544" t="s">
        <v>21</v>
      </c>
      <c r="L544" t="s">
        <v>22</v>
      </c>
      <c r="M544" t="str">
        <f t="shared" si="82"/>
        <v>1</v>
      </c>
      <c r="O544" t="str">
        <f t="shared" si="81"/>
        <v>1 </v>
      </c>
      <c r="P544">
        <v>12.5</v>
      </c>
      <c r="Q544" t="s">
        <v>23</v>
      </c>
    </row>
    <row r="545" spans="1:17" ht="15">
      <c r="A545" t="s">
        <v>17</v>
      </c>
      <c r="B545" s="1">
        <v>41807</v>
      </c>
      <c r="C545" t="s">
        <v>1034</v>
      </c>
      <c r="D545" t="str">
        <f>CONCATENATE("0040033276","")</f>
        <v>0040033276</v>
      </c>
      <c r="E545" t="str">
        <f>CONCATENATE("0121110001100       ","")</f>
        <v>0121110001100       </v>
      </c>
      <c r="F545" t="str">
        <f>CONCATENATE("606095275","")</f>
        <v>606095275</v>
      </c>
      <c r="G545" t="s">
        <v>1127</v>
      </c>
      <c r="H545" t="s">
        <v>1191</v>
      </c>
      <c r="I545" t="s">
        <v>1192</v>
      </c>
      <c r="J545" t="str">
        <f t="shared" si="80"/>
        <v>081212</v>
      </c>
      <c r="K545" t="s">
        <v>21</v>
      </c>
      <c r="L545" t="s">
        <v>22</v>
      </c>
      <c r="M545" t="str">
        <f t="shared" si="82"/>
        <v>1</v>
      </c>
      <c r="O545" t="str">
        <f t="shared" si="81"/>
        <v>1 </v>
      </c>
      <c r="P545">
        <v>28.15</v>
      </c>
      <c r="Q545" t="s">
        <v>23</v>
      </c>
    </row>
    <row r="546" spans="1:17" ht="15">
      <c r="A546" t="s">
        <v>17</v>
      </c>
      <c r="B546" s="1">
        <v>41807</v>
      </c>
      <c r="C546" t="s">
        <v>1034</v>
      </c>
      <c r="D546" t="str">
        <f>CONCATENATE("0040033277","")</f>
        <v>0040033277</v>
      </c>
      <c r="E546" t="str">
        <f>CONCATENATE("0121110001110       ","")</f>
        <v>0121110001110       </v>
      </c>
      <c r="F546" t="str">
        <f>CONCATENATE("606095363","")</f>
        <v>606095363</v>
      </c>
      <c r="G546" t="s">
        <v>1127</v>
      </c>
      <c r="H546" t="s">
        <v>1193</v>
      </c>
      <c r="I546" t="s">
        <v>1192</v>
      </c>
      <c r="J546" t="str">
        <f t="shared" si="80"/>
        <v>081212</v>
      </c>
      <c r="K546" t="s">
        <v>21</v>
      </c>
      <c r="L546" t="s">
        <v>22</v>
      </c>
      <c r="M546" t="str">
        <f t="shared" si="82"/>
        <v>1</v>
      </c>
      <c r="O546" t="str">
        <f t="shared" si="81"/>
        <v>1 </v>
      </c>
      <c r="P546">
        <v>29.65</v>
      </c>
      <c r="Q546" t="s">
        <v>23</v>
      </c>
    </row>
    <row r="547" spans="1:17" ht="15">
      <c r="A547" t="s">
        <v>17</v>
      </c>
      <c r="B547" s="1">
        <v>41807</v>
      </c>
      <c r="C547" t="s">
        <v>1034</v>
      </c>
      <c r="D547" t="str">
        <f>CONCATENATE("0040033279","")</f>
        <v>0040033279</v>
      </c>
      <c r="E547" t="str">
        <f>CONCATENATE("0121110001120       ","")</f>
        <v>0121110001120       </v>
      </c>
      <c r="F547" t="str">
        <f>CONCATENATE("606095347","")</f>
        <v>606095347</v>
      </c>
      <c r="G547" t="s">
        <v>1127</v>
      </c>
      <c r="H547" t="s">
        <v>1194</v>
      </c>
      <c r="I547" t="s">
        <v>1192</v>
      </c>
      <c r="J547" t="str">
        <f t="shared" si="80"/>
        <v>081212</v>
      </c>
      <c r="K547" t="s">
        <v>21</v>
      </c>
      <c r="L547" t="s">
        <v>22</v>
      </c>
      <c r="M547" t="str">
        <f t="shared" si="82"/>
        <v>1</v>
      </c>
      <c r="O547" t="str">
        <f t="shared" si="81"/>
        <v>1 </v>
      </c>
      <c r="P547">
        <v>11.45</v>
      </c>
      <c r="Q547" t="s">
        <v>23</v>
      </c>
    </row>
    <row r="548" spans="1:17" ht="15">
      <c r="A548" t="s">
        <v>17</v>
      </c>
      <c r="B548" s="1">
        <v>41807</v>
      </c>
      <c r="C548" t="s">
        <v>1034</v>
      </c>
      <c r="D548" t="str">
        <f>CONCATENATE("0040033275","")</f>
        <v>0040033275</v>
      </c>
      <c r="E548" t="str">
        <f>CONCATENATE("0121110001150       ","")</f>
        <v>0121110001150       </v>
      </c>
      <c r="F548" t="str">
        <f>CONCATENATE("606095349","")</f>
        <v>606095349</v>
      </c>
      <c r="G548" t="s">
        <v>1127</v>
      </c>
      <c r="H548" t="s">
        <v>1195</v>
      </c>
      <c r="I548" t="s">
        <v>1192</v>
      </c>
      <c r="J548" t="str">
        <f t="shared" si="80"/>
        <v>081212</v>
      </c>
      <c r="K548" t="s">
        <v>21</v>
      </c>
      <c r="L548" t="s">
        <v>22</v>
      </c>
      <c r="M548" t="str">
        <f t="shared" si="82"/>
        <v>1</v>
      </c>
      <c r="O548" t="str">
        <f t="shared" si="81"/>
        <v>1 </v>
      </c>
      <c r="P548">
        <v>11.4</v>
      </c>
      <c r="Q548" t="s">
        <v>23</v>
      </c>
    </row>
    <row r="549" spans="1:17" ht="15">
      <c r="A549" t="s">
        <v>17</v>
      </c>
      <c r="B549" s="1">
        <v>41807</v>
      </c>
      <c r="C549" t="s">
        <v>1034</v>
      </c>
      <c r="D549" t="str">
        <f>CONCATENATE("0130013372","")</f>
        <v>0130013372</v>
      </c>
      <c r="E549" t="str">
        <f>CONCATENATE("0121115000025       ","")</f>
        <v>0121115000025       </v>
      </c>
      <c r="F549" t="str">
        <f>CONCATENATE("606600713","")</f>
        <v>606600713</v>
      </c>
      <c r="G549" t="s">
        <v>1196</v>
      </c>
      <c r="H549" t="s">
        <v>1197</v>
      </c>
      <c r="I549" t="s">
        <v>1198</v>
      </c>
      <c r="J549" t="str">
        <f t="shared" si="80"/>
        <v>081212</v>
      </c>
      <c r="K549" t="s">
        <v>21</v>
      </c>
      <c r="L549" t="s">
        <v>22</v>
      </c>
      <c r="M549" t="str">
        <f t="shared" si="82"/>
        <v>1</v>
      </c>
      <c r="O549" t="str">
        <f t="shared" si="81"/>
        <v>1 </v>
      </c>
      <c r="P549">
        <v>21.5</v>
      </c>
      <c r="Q549" t="s">
        <v>23</v>
      </c>
    </row>
    <row r="550" spans="1:17" ht="15">
      <c r="A550" t="s">
        <v>17</v>
      </c>
      <c r="B550" s="1">
        <v>41807</v>
      </c>
      <c r="C550" t="s">
        <v>1034</v>
      </c>
      <c r="D550" t="str">
        <f>CONCATENATE("0130006711","")</f>
        <v>0130006711</v>
      </c>
      <c r="E550" t="str">
        <f>CONCATENATE("0121115000150       ","")</f>
        <v>0121115000150       </v>
      </c>
      <c r="F550" t="str">
        <f>CONCATENATE("605119186","")</f>
        <v>605119186</v>
      </c>
      <c r="G550" t="s">
        <v>1196</v>
      </c>
      <c r="H550" t="s">
        <v>1199</v>
      </c>
      <c r="I550" t="s">
        <v>1200</v>
      </c>
      <c r="J550" t="str">
        <f t="shared" si="80"/>
        <v>081212</v>
      </c>
      <c r="K550" t="s">
        <v>21</v>
      </c>
      <c r="L550" t="s">
        <v>22</v>
      </c>
      <c r="M550" t="str">
        <f t="shared" si="82"/>
        <v>1</v>
      </c>
      <c r="O550" t="str">
        <f t="shared" si="81"/>
        <v>1 </v>
      </c>
      <c r="P550">
        <v>54.1</v>
      </c>
      <c r="Q550" t="s">
        <v>23</v>
      </c>
    </row>
    <row r="551" spans="1:17" ht="15">
      <c r="A551" t="s">
        <v>17</v>
      </c>
      <c r="B551" s="1">
        <v>41807</v>
      </c>
      <c r="C551" t="s">
        <v>1034</v>
      </c>
      <c r="D551" t="str">
        <f>CONCATENATE("0130006715","")</f>
        <v>0130006715</v>
      </c>
      <c r="E551" t="str">
        <f>CONCATENATE("0121115000200       ","")</f>
        <v>0121115000200       </v>
      </c>
      <c r="F551" t="str">
        <f>CONCATENATE("605121011","")</f>
        <v>605121011</v>
      </c>
      <c r="G551" t="s">
        <v>1196</v>
      </c>
      <c r="H551" t="s">
        <v>1201</v>
      </c>
      <c r="I551" t="s">
        <v>1200</v>
      </c>
      <c r="J551" t="str">
        <f t="shared" si="80"/>
        <v>081212</v>
      </c>
      <c r="K551" t="s">
        <v>21</v>
      </c>
      <c r="L551" t="s">
        <v>22</v>
      </c>
      <c r="M551" t="str">
        <f t="shared" si="82"/>
        <v>1</v>
      </c>
      <c r="O551" t="str">
        <f t="shared" si="81"/>
        <v>1 </v>
      </c>
      <c r="P551">
        <v>19.75</v>
      </c>
      <c r="Q551" t="s">
        <v>23</v>
      </c>
    </row>
    <row r="552" spans="1:17" ht="15">
      <c r="A552" t="s">
        <v>17</v>
      </c>
      <c r="B552" s="1">
        <v>41807</v>
      </c>
      <c r="C552" t="s">
        <v>1034</v>
      </c>
      <c r="D552" t="str">
        <f>CONCATENATE("0130006726","")</f>
        <v>0130006726</v>
      </c>
      <c r="E552" t="str">
        <f>CONCATENATE("0121115000350       ","")</f>
        <v>0121115000350       </v>
      </c>
      <c r="F552" t="str">
        <f>CONCATENATE("605121015","")</f>
        <v>605121015</v>
      </c>
      <c r="G552" t="s">
        <v>1196</v>
      </c>
      <c r="H552" t="s">
        <v>1202</v>
      </c>
      <c r="I552" t="s">
        <v>1200</v>
      </c>
      <c r="J552" t="str">
        <f t="shared" si="80"/>
        <v>081212</v>
      </c>
      <c r="K552" t="s">
        <v>21</v>
      </c>
      <c r="L552" t="s">
        <v>22</v>
      </c>
      <c r="M552" t="str">
        <f t="shared" si="82"/>
        <v>1</v>
      </c>
      <c r="O552" t="str">
        <f t="shared" si="81"/>
        <v>1 </v>
      </c>
      <c r="P552">
        <v>19.65</v>
      </c>
      <c r="Q552" t="s">
        <v>23</v>
      </c>
    </row>
    <row r="553" spans="1:17" ht="15">
      <c r="A553" t="s">
        <v>17</v>
      </c>
      <c r="B553" s="1">
        <v>41807</v>
      </c>
      <c r="C553" t="s">
        <v>1034</v>
      </c>
      <c r="D553" t="str">
        <f>CONCATENATE("0040031453","")</f>
        <v>0040031453</v>
      </c>
      <c r="E553" t="str">
        <f>CONCATENATE("0121115001080       ","")</f>
        <v>0121115001080       </v>
      </c>
      <c r="F553" t="str">
        <f>CONCATENATE("605916454","")</f>
        <v>605916454</v>
      </c>
      <c r="G553" t="s">
        <v>1196</v>
      </c>
      <c r="H553" t="s">
        <v>1203</v>
      </c>
      <c r="I553" t="s">
        <v>1204</v>
      </c>
      <c r="J553" t="str">
        <f t="shared" si="80"/>
        <v>081212</v>
      </c>
      <c r="K553" t="s">
        <v>21</v>
      </c>
      <c r="L553" t="s">
        <v>22</v>
      </c>
      <c r="M553" t="str">
        <f t="shared" si="82"/>
        <v>1</v>
      </c>
      <c r="O553" t="str">
        <f t="shared" si="81"/>
        <v>1 </v>
      </c>
      <c r="P553">
        <v>27.2</v>
      </c>
      <c r="Q553" t="s">
        <v>23</v>
      </c>
    </row>
    <row r="554" spans="1:17" ht="15">
      <c r="A554" t="s">
        <v>17</v>
      </c>
      <c r="B554" s="1">
        <v>41807</v>
      </c>
      <c r="C554" t="s">
        <v>1034</v>
      </c>
      <c r="D554" t="str">
        <f>CONCATENATE("0130012544","")</f>
        <v>0130012544</v>
      </c>
      <c r="E554" t="str">
        <f>CONCATENATE("0121120000150       ","")</f>
        <v>0121120000150       </v>
      </c>
      <c r="F554" t="str">
        <f>CONCATENATE("00500310499","")</f>
        <v>00500310499</v>
      </c>
      <c r="G554" t="s">
        <v>1205</v>
      </c>
      <c r="H554" t="s">
        <v>1206</v>
      </c>
      <c r="I554" t="s">
        <v>1207</v>
      </c>
      <c r="J554" t="str">
        <f t="shared" si="80"/>
        <v>081212</v>
      </c>
      <c r="K554" t="s">
        <v>21</v>
      </c>
      <c r="L554" t="s">
        <v>22</v>
      </c>
      <c r="M554" t="str">
        <f t="shared" si="82"/>
        <v>1</v>
      </c>
      <c r="O554" t="str">
        <f t="shared" si="81"/>
        <v>1 </v>
      </c>
      <c r="P554">
        <v>20.75</v>
      </c>
      <c r="Q554" t="s">
        <v>23</v>
      </c>
    </row>
    <row r="555" spans="1:17" ht="15">
      <c r="A555" t="s">
        <v>17</v>
      </c>
      <c r="B555" s="1">
        <v>41807</v>
      </c>
      <c r="C555" t="s">
        <v>1034</v>
      </c>
      <c r="D555" t="str">
        <f>CONCATENATE("0130006775","")</f>
        <v>0130006775</v>
      </c>
      <c r="E555" t="str">
        <f>CONCATENATE("0121120000640       ","")</f>
        <v>0121120000640       </v>
      </c>
      <c r="F555" t="str">
        <f>CONCATENATE("605293671","")</f>
        <v>605293671</v>
      </c>
      <c r="G555" t="s">
        <v>1205</v>
      </c>
      <c r="H555" t="s">
        <v>1208</v>
      </c>
      <c r="I555" t="s">
        <v>1209</v>
      </c>
      <c r="J555" t="str">
        <f t="shared" si="80"/>
        <v>081212</v>
      </c>
      <c r="K555" t="s">
        <v>21</v>
      </c>
      <c r="L555" t="s">
        <v>22</v>
      </c>
      <c r="M555" t="str">
        <f t="shared" si="82"/>
        <v>1</v>
      </c>
      <c r="O555" t="str">
        <f t="shared" si="81"/>
        <v>1 </v>
      </c>
      <c r="P555">
        <v>56</v>
      </c>
      <c r="Q555" t="s">
        <v>23</v>
      </c>
    </row>
    <row r="556" spans="1:17" ht="15">
      <c r="A556" t="s">
        <v>17</v>
      </c>
      <c r="B556" s="1">
        <v>41807</v>
      </c>
      <c r="C556" t="s">
        <v>1034</v>
      </c>
      <c r="D556" t="str">
        <f>CONCATENATE("0130006791","")</f>
        <v>0130006791</v>
      </c>
      <c r="E556" t="str">
        <f>CONCATENATE("0121120000990       ","")</f>
        <v>0121120000990       </v>
      </c>
      <c r="F556" t="str">
        <f>CONCATENATE("605293590","")</f>
        <v>605293590</v>
      </c>
      <c r="G556" t="s">
        <v>1205</v>
      </c>
      <c r="H556" t="s">
        <v>1210</v>
      </c>
      <c r="I556" t="s">
        <v>1211</v>
      </c>
      <c r="J556" t="str">
        <f t="shared" si="80"/>
        <v>081212</v>
      </c>
      <c r="K556" t="s">
        <v>21</v>
      </c>
      <c r="L556" t="s">
        <v>22</v>
      </c>
      <c r="M556" t="str">
        <f t="shared" si="82"/>
        <v>1</v>
      </c>
      <c r="O556" t="str">
        <f t="shared" si="81"/>
        <v>1 </v>
      </c>
      <c r="P556">
        <v>33.05</v>
      </c>
      <c r="Q556" t="s">
        <v>23</v>
      </c>
    </row>
    <row r="557" spans="1:17" ht="15">
      <c r="A557" t="s">
        <v>17</v>
      </c>
      <c r="B557" s="1">
        <v>41807</v>
      </c>
      <c r="C557" t="s">
        <v>1034</v>
      </c>
      <c r="D557" t="str">
        <f>CONCATENATE("0040032826","")</f>
        <v>0040032826</v>
      </c>
      <c r="E557" t="str">
        <f>CONCATENATE("0121122001020       ","")</f>
        <v>0121122001020       </v>
      </c>
      <c r="F557" t="str">
        <f>CONCATENATE("606095532","")</f>
        <v>606095532</v>
      </c>
      <c r="G557" t="s">
        <v>1205</v>
      </c>
      <c r="H557" t="s">
        <v>1212</v>
      </c>
      <c r="I557" t="s">
        <v>1213</v>
      </c>
      <c r="J557" t="str">
        <f t="shared" si="80"/>
        <v>081212</v>
      </c>
      <c r="K557" t="s">
        <v>21</v>
      </c>
      <c r="L557" t="s">
        <v>22</v>
      </c>
      <c r="M557" t="str">
        <f t="shared" si="82"/>
        <v>1</v>
      </c>
      <c r="O557" t="str">
        <f>CONCATENATE("2 ","")</f>
        <v>2 </v>
      </c>
      <c r="P557">
        <v>17.1</v>
      </c>
      <c r="Q557" t="s">
        <v>23</v>
      </c>
    </row>
    <row r="558" spans="1:17" ht="15">
      <c r="A558" t="s">
        <v>17</v>
      </c>
      <c r="B558" s="1">
        <v>41807</v>
      </c>
      <c r="C558" t="s">
        <v>1034</v>
      </c>
      <c r="D558" t="str">
        <f>CONCATENATE("0130006900","")</f>
        <v>0130006900</v>
      </c>
      <c r="E558" t="str">
        <f>CONCATENATE("0121130000320       ","")</f>
        <v>0121130000320       </v>
      </c>
      <c r="F558" t="str">
        <f>CONCATENATE("605292609","")</f>
        <v>605292609</v>
      </c>
      <c r="G558" t="s">
        <v>1214</v>
      </c>
      <c r="H558" t="s">
        <v>1215</v>
      </c>
      <c r="I558" t="s">
        <v>1216</v>
      </c>
      <c r="J558" t="str">
        <f t="shared" si="80"/>
        <v>081212</v>
      </c>
      <c r="K558" t="s">
        <v>21</v>
      </c>
      <c r="L558" t="s">
        <v>22</v>
      </c>
      <c r="M558" t="str">
        <f t="shared" si="82"/>
        <v>1</v>
      </c>
      <c r="O558" t="str">
        <f aca="true" t="shared" si="83" ref="O558:O573">CONCATENATE("1 ","")</f>
        <v>1 </v>
      </c>
      <c r="P558">
        <v>71.6</v>
      </c>
      <c r="Q558" t="s">
        <v>23</v>
      </c>
    </row>
    <row r="559" spans="1:17" ht="15">
      <c r="A559" t="s">
        <v>17</v>
      </c>
      <c r="B559" s="1">
        <v>41807</v>
      </c>
      <c r="C559" t="s">
        <v>1034</v>
      </c>
      <c r="D559" t="str">
        <f>CONCATENATE("0130020744","")</f>
        <v>0130020744</v>
      </c>
      <c r="E559" t="str">
        <f>CONCATENATE("0121135000050       ","")</f>
        <v>0121135000050       </v>
      </c>
      <c r="F559" t="str">
        <f>CONCATENATE("1675579","")</f>
        <v>1675579</v>
      </c>
      <c r="G559" t="s">
        <v>1217</v>
      </c>
      <c r="H559" t="s">
        <v>1218</v>
      </c>
      <c r="I559" t="s">
        <v>1219</v>
      </c>
      <c r="J559" t="str">
        <f t="shared" si="80"/>
        <v>081212</v>
      </c>
      <c r="K559" t="s">
        <v>21</v>
      </c>
      <c r="L559" t="s">
        <v>22</v>
      </c>
      <c r="M559" t="str">
        <f t="shared" si="82"/>
        <v>1</v>
      </c>
      <c r="O559" t="str">
        <f t="shared" si="83"/>
        <v>1 </v>
      </c>
      <c r="P559">
        <v>28.35</v>
      </c>
      <c r="Q559" t="s">
        <v>23</v>
      </c>
    </row>
    <row r="560" spans="1:17" ht="15">
      <c r="A560" t="s">
        <v>17</v>
      </c>
      <c r="B560" s="1">
        <v>41807</v>
      </c>
      <c r="C560" t="s">
        <v>1034</v>
      </c>
      <c r="D560" t="str">
        <f>CONCATENATE("0130006954","")</f>
        <v>0130006954</v>
      </c>
      <c r="E560" t="str">
        <f>CONCATENATE("0121135000170       ","")</f>
        <v>0121135000170       </v>
      </c>
      <c r="F560" t="str">
        <f>CONCATENATE("0606030711","")</f>
        <v>0606030711</v>
      </c>
      <c r="G560" t="s">
        <v>1217</v>
      </c>
      <c r="H560" t="s">
        <v>1220</v>
      </c>
      <c r="I560" t="s">
        <v>1221</v>
      </c>
      <c r="J560" t="str">
        <f t="shared" si="80"/>
        <v>081212</v>
      </c>
      <c r="K560" t="s">
        <v>21</v>
      </c>
      <c r="L560" t="s">
        <v>22</v>
      </c>
      <c r="M560" t="str">
        <f t="shared" si="82"/>
        <v>1</v>
      </c>
      <c r="O560" t="str">
        <f t="shared" si="83"/>
        <v>1 </v>
      </c>
      <c r="P560">
        <v>16</v>
      </c>
      <c r="Q560" t="s">
        <v>23</v>
      </c>
    </row>
    <row r="561" spans="1:17" ht="15">
      <c r="A561" t="s">
        <v>17</v>
      </c>
      <c r="B561" s="1">
        <v>41807</v>
      </c>
      <c r="C561" t="s">
        <v>1034</v>
      </c>
      <c r="D561" t="str">
        <f>CONCATENATE("0130009966","")</f>
        <v>0130009966</v>
      </c>
      <c r="E561" t="str">
        <f>CONCATENATE("0121135000473       ","")</f>
        <v>0121135000473       </v>
      </c>
      <c r="F561" t="str">
        <f>CONCATENATE("605555750","")</f>
        <v>605555750</v>
      </c>
      <c r="G561" t="s">
        <v>1217</v>
      </c>
      <c r="H561" t="s">
        <v>1222</v>
      </c>
      <c r="I561" t="s">
        <v>1223</v>
      </c>
      <c r="J561" t="str">
        <f t="shared" si="80"/>
        <v>081212</v>
      </c>
      <c r="K561" t="s">
        <v>21</v>
      </c>
      <c r="L561" t="s">
        <v>22</v>
      </c>
      <c r="M561" t="str">
        <f t="shared" si="82"/>
        <v>1</v>
      </c>
      <c r="O561" t="str">
        <f t="shared" si="83"/>
        <v>1 </v>
      </c>
      <c r="P561">
        <v>43.85</v>
      </c>
      <c r="Q561" t="s">
        <v>23</v>
      </c>
    </row>
    <row r="562" spans="1:17" ht="15">
      <c r="A562" t="s">
        <v>17</v>
      </c>
      <c r="B562" s="1">
        <v>41807</v>
      </c>
      <c r="C562" t="s">
        <v>1034</v>
      </c>
      <c r="D562" t="str">
        <f>CONCATENATE("0130007017","")</f>
        <v>0130007017</v>
      </c>
      <c r="E562" t="str">
        <f>CONCATENATE("0121135001220       ","")</f>
        <v>0121135001220       </v>
      </c>
      <c r="F562" t="str">
        <f>CONCATENATE("800294","")</f>
        <v>800294</v>
      </c>
      <c r="G562" t="s">
        <v>1217</v>
      </c>
      <c r="H562" t="s">
        <v>1224</v>
      </c>
      <c r="I562" t="s">
        <v>1221</v>
      </c>
      <c r="J562" t="str">
        <f t="shared" si="80"/>
        <v>081212</v>
      </c>
      <c r="K562" t="s">
        <v>21</v>
      </c>
      <c r="L562" t="s">
        <v>22</v>
      </c>
      <c r="M562" t="str">
        <f t="shared" si="82"/>
        <v>1</v>
      </c>
      <c r="O562" t="str">
        <f t="shared" si="83"/>
        <v>1 </v>
      </c>
      <c r="P562">
        <v>21.05</v>
      </c>
      <c r="Q562" t="s">
        <v>23</v>
      </c>
    </row>
    <row r="563" spans="1:17" ht="15">
      <c r="A563" t="s">
        <v>17</v>
      </c>
      <c r="B563" s="1">
        <v>41807</v>
      </c>
      <c r="C563" t="s">
        <v>1034</v>
      </c>
      <c r="D563" t="str">
        <f>CONCATENATE("0130016685","")</f>
        <v>0130016685</v>
      </c>
      <c r="E563" t="str">
        <f>CONCATENATE("0121136001130       ","")</f>
        <v>0121136001130       </v>
      </c>
      <c r="F563" t="str">
        <f>CONCATENATE("605626112","")</f>
        <v>605626112</v>
      </c>
      <c r="G563" t="s">
        <v>1225</v>
      </c>
      <c r="H563" t="s">
        <v>1226</v>
      </c>
      <c r="I563" t="s">
        <v>1227</v>
      </c>
      <c r="J563" t="str">
        <f t="shared" si="80"/>
        <v>081212</v>
      </c>
      <c r="K563" t="s">
        <v>21</v>
      </c>
      <c r="L563" t="s">
        <v>22</v>
      </c>
      <c r="M563" t="str">
        <f t="shared" si="82"/>
        <v>1</v>
      </c>
      <c r="O563" t="str">
        <f t="shared" si="83"/>
        <v>1 </v>
      </c>
      <c r="P563">
        <v>10.5</v>
      </c>
      <c r="Q563" t="s">
        <v>23</v>
      </c>
    </row>
    <row r="564" spans="1:17" ht="15">
      <c r="A564" t="s">
        <v>17</v>
      </c>
      <c r="B564" s="1">
        <v>41807</v>
      </c>
      <c r="C564" t="s">
        <v>1034</v>
      </c>
      <c r="D564" t="str">
        <f>CONCATENATE("0130007042","")</f>
        <v>0130007042</v>
      </c>
      <c r="E564" t="str">
        <f>CONCATENATE("0121140000240       ","")</f>
        <v>0121140000240       </v>
      </c>
      <c r="F564" t="str">
        <f>CONCATENATE("683162","")</f>
        <v>683162</v>
      </c>
      <c r="G564" t="s">
        <v>1228</v>
      </c>
      <c r="H564" t="s">
        <v>1229</v>
      </c>
      <c r="I564" t="s">
        <v>1209</v>
      </c>
      <c r="J564" t="str">
        <f t="shared" si="80"/>
        <v>081212</v>
      </c>
      <c r="K564" t="s">
        <v>21</v>
      </c>
      <c r="L564" t="s">
        <v>22</v>
      </c>
      <c r="M564" t="str">
        <f t="shared" si="82"/>
        <v>1</v>
      </c>
      <c r="O564" t="str">
        <f t="shared" si="83"/>
        <v>1 </v>
      </c>
      <c r="P564">
        <v>34</v>
      </c>
      <c r="Q564" t="s">
        <v>23</v>
      </c>
    </row>
    <row r="565" spans="1:17" ht="15">
      <c r="A565" t="s">
        <v>17</v>
      </c>
      <c r="B565" s="1">
        <v>41807</v>
      </c>
      <c r="C565" t="s">
        <v>1034</v>
      </c>
      <c r="D565" t="str">
        <f>CONCATENATE("0130007050","")</f>
        <v>0130007050</v>
      </c>
      <c r="E565" t="str">
        <f>CONCATENATE("0121140000320       ","")</f>
        <v>0121140000320       </v>
      </c>
      <c r="F565" t="str">
        <f>CONCATENATE("605119758","")</f>
        <v>605119758</v>
      </c>
      <c r="G565" t="s">
        <v>1228</v>
      </c>
      <c r="H565" t="s">
        <v>1230</v>
      </c>
      <c r="I565" t="s">
        <v>1209</v>
      </c>
      <c r="J565" t="str">
        <f t="shared" si="80"/>
        <v>081212</v>
      </c>
      <c r="K565" t="s">
        <v>21</v>
      </c>
      <c r="L565" t="s">
        <v>22</v>
      </c>
      <c r="M565" t="str">
        <f t="shared" si="82"/>
        <v>1</v>
      </c>
      <c r="O565" t="str">
        <f t="shared" si="83"/>
        <v>1 </v>
      </c>
      <c r="P565">
        <v>33.4</v>
      </c>
      <c r="Q565" t="s">
        <v>23</v>
      </c>
    </row>
    <row r="566" spans="1:17" ht="15">
      <c r="A566" t="s">
        <v>17</v>
      </c>
      <c r="B566" s="1">
        <v>41807</v>
      </c>
      <c r="C566" t="s">
        <v>1034</v>
      </c>
      <c r="D566" t="str">
        <f>CONCATENATE("0130007056","")</f>
        <v>0130007056</v>
      </c>
      <c r="E566" t="str">
        <f>CONCATENATE("0121140000390       ","")</f>
        <v>0121140000390       </v>
      </c>
      <c r="F566" t="str">
        <f>CONCATENATE("660335","")</f>
        <v>660335</v>
      </c>
      <c r="G566" t="s">
        <v>1228</v>
      </c>
      <c r="H566" t="s">
        <v>1231</v>
      </c>
      <c r="I566" t="s">
        <v>1209</v>
      </c>
      <c r="J566" t="str">
        <f t="shared" si="80"/>
        <v>081212</v>
      </c>
      <c r="K566" t="s">
        <v>21</v>
      </c>
      <c r="L566" t="s">
        <v>22</v>
      </c>
      <c r="M566" t="str">
        <f t="shared" si="82"/>
        <v>1</v>
      </c>
      <c r="O566" t="str">
        <f t="shared" si="83"/>
        <v>1 </v>
      </c>
      <c r="P566">
        <v>31.75</v>
      </c>
      <c r="Q566" t="s">
        <v>23</v>
      </c>
    </row>
    <row r="567" spans="1:17" ht="15">
      <c r="A567" t="s">
        <v>17</v>
      </c>
      <c r="B567" s="1">
        <v>41807</v>
      </c>
      <c r="C567" t="s">
        <v>1034</v>
      </c>
      <c r="D567" t="str">
        <f>CONCATENATE("0130007083","")</f>
        <v>0130007083</v>
      </c>
      <c r="E567" t="str">
        <f>CONCATENATE("0121140000700       ","")</f>
        <v>0121140000700       </v>
      </c>
      <c r="F567" t="str">
        <f>CONCATENATE("605353349","")</f>
        <v>605353349</v>
      </c>
      <c r="G567" t="s">
        <v>1228</v>
      </c>
      <c r="H567" t="s">
        <v>1232</v>
      </c>
      <c r="I567" t="s">
        <v>1233</v>
      </c>
      <c r="J567" t="str">
        <f t="shared" si="80"/>
        <v>081212</v>
      </c>
      <c r="K567" t="s">
        <v>21</v>
      </c>
      <c r="L567" t="s">
        <v>22</v>
      </c>
      <c r="M567" t="str">
        <f t="shared" si="82"/>
        <v>1</v>
      </c>
      <c r="O567" t="str">
        <f t="shared" si="83"/>
        <v>1 </v>
      </c>
      <c r="P567">
        <v>49.2</v>
      </c>
      <c r="Q567" t="s">
        <v>23</v>
      </c>
    </row>
    <row r="568" spans="1:17" ht="15">
      <c r="A568" t="s">
        <v>17</v>
      </c>
      <c r="B568" s="1">
        <v>41807</v>
      </c>
      <c r="C568" t="s">
        <v>1034</v>
      </c>
      <c r="D568" t="str">
        <f>CONCATENATE("0130007091","")</f>
        <v>0130007091</v>
      </c>
      <c r="E568" t="str">
        <f>CONCATENATE("0121140000780       ","")</f>
        <v>0121140000780       </v>
      </c>
      <c r="F568" t="str">
        <f>CONCATENATE("605392361","")</f>
        <v>605392361</v>
      </c>
      <c r="G568" t="s">
        <v>1228</v>
      </c>
      <c r="H568" t="s">
        <v>1234</v>
      </c>
      <c r="I568" t="s">
        <v>1233</v>
      </c>
      <c r="J568" t="str">
        <f t="shared" si="80"/>
        <v>081212</v>
      </c>
      <c r="K568" t="s">
        <v>21</v>
      </c>
      <c r="L568" t="s">
        <v>22</v>
      </c>
      <c r="M568" t="str">
        <f t="shared" si="82"/>
        <v>1</v>
      </c>
      <c r="O568" t="str">
        <f t="shared" si="83"/>
        <v>1 </v>
      </c>
      <c r="P568">
        <v>11.4</v>
      </c>
      <c r="Q568" t="s">
        <v>23</v>
      </c>
    </row>
    <row r="569" spans="1:17" ht="15">
      <c r="A569" t="s">
        <v>17</v>
      </c>
      <c r="B569" s="1">
        <v>41807</v>
      </c>
      <c r="C569" t="s">
        <v>1034</v>
      </c>
      <c r="D569" t="str">
        <f>CONCATENATE("0130007096","")</f>
        <v>0130007096</v>
      </c>
      <c r="E569" t="str">
        <f>CONCATENATE("0121140000830       ","")</f>
        <v>0121140000830       </v>
      </c>
      <c r="F569" t="str">
        <f>CONCATENATE("605117658","")</f>
        <v>605117658</v>
      </c>
      <c r="G569" t="s">
        <v>1228</v>
      </c>
      <c r="H569" t="s">
        <v>1235</v>
      </c>
      <c r="I569" t="s">
        <v>1233</v>
      </c>
      <c r="J569" t="str">
        <f aca="true" t="shared" si="84" ref="J569:J600">CONCATENATE("081212","")</f>
        <v>081212</v>
      </c>
      <c r="K569" t="s">
        <v>21</v>
      </c>
      <c r="L569" t="s">
        <v>22</v>
      </c>
      <c r="M569" t="str">
        <f t="shared" si="82"/>
        <v>1</v>
      </c>
      <c r="O569" t="str">
        <f t="shared" si="83"/>
        <v>1 </v>
      </c>
      <c r="P569">
        <v>280.2</v>
      </c>
      <c r="Q569" t="s">
        <v>23</v>
      </c>
    </row>
    <row r="570" spans="1:17" ht="15">
      <c r="A570" t="s">
        <v>17</v>
      </c>
      <c r="B570" s="1">
        <v>41807</v>
      </c>
      <c r="C570" t="s">
        <v>1034</v>
      </c>
      <c r="D570" t="str">
        <f>CONCATENATE("0130007106","")</f>
        <v>0130007106</v>
      </c>
      <c r="E570" t="str">
        <f>CONCATENATE("0121140000940       ","")</f>
        <v>0121140000940       </v>
      </c>
      <c r="F570" t="str">
        <f>CONCATENATE("507008732","")</f>
        <v>507008732</v>
      </c>
      <c r="G570" t="s">
        <v>1228</v>
      </c>
      <c r="H570" t="s">
        <v>1236</v>
      </c>
      <c r="I570" t="s">
        <v>1237</v>
      </c>
      <c r="J570" t="str">
        <f t="shared" si="84"/>
        <v>081212</v>
      </c>
      <c r="K570" t="s">
        <v>21</v>
      </c>
      <c r="L570" t="s">
        <v>22</v>
      </c>
      <c r="M570" t="str">
        <f>CONCATENATE("3","")</f>
        <v>3</v>
      </c>
      <c r="O570" t="str">
        <f t="shared" si="83"/>
        <v>1 </v>
      </c>
      <c r="P570">
        <v>41.85</v>
      </c>
      <c r="Q570" t="s">
        <v>68</v>
      </c>
    </row>
    <row r="571" spans="1:17" ht="15">
      <c r="A571" t="s">
        <v>17</v>
      </c>
      <c r="B571" s="1">
        <v>41807</v>
      </c>
      <c r="C571" t="s">
        <v>1034</v>
      </c>
      <c r="D571" t="str">
        <f>CONCATENATE("0130007108","")</f>
        <v>0130007108</v>
      </c>
      <c r="E571" t="str">
        <f>CONCATENATE("0121140000960       ","")</f>
        <v>0121140000960       </v>
      </c>
      <c r="F571" t="str">
        <f>CONCATENATE("605117631","")</f>
        <v>605117631</v>
      </c>
      <c r="G571" t="s">
        <v>1228</v>
      </c>
      <c r="H571" t="s">
        <v>1238</v>
      </c>
      <c r="I571" t="s">
        <v>1237</v>
      </c>
      <c r="J571" t="str">
        <f t="shared" si="84"/>
        <v>081212</v>
      </c>
      <c r="K571" t="s">
        <v>21</v>
      </c>
      <c r="L571" t="s">
        <v>22</v>
      </c>
      <c r="M571" t="str">
        <f aca="true" t="shared" si="85" ref="M571:M602">CONCATENATE("1","")</f>
        <v>1</v>
      </c>
      <c r="O571" t="str">
        <f t="shared" si="83"/>
        <v>1 </v>
      </c>
      <c r="P571">
        <v>72.7</v>
      </c>
      <c r="Q571" t="s">
        <v>23</v>
      </c>
    </row>
    <row r="572" spans="1:17" ht="15">
      <c r="A572" t="s">
        <v>17</v>
      </c>
      <c r="B572" s="1">
        <v>41807</v>
      </c>
      <c r="C572" t="s">
        <v>1034</v>
      </c>
      <c r="D572" t="str">
        <f>CONCATENATE("0130007112","")</f>
        <v>0130007112</v>
      </c>
      <c r="E572" t="str">
        <f>CONCATENATE("0121140001000       ","")</f>
        <v>0121140001000       </v>
      </c>
      <c r="F572" t="str">
        <f>CONCATENATE("605117632","")</f>
        <v>605117632</v>
      </c>
      <c r="G572" t="s">
        <v>1228</v>
      </c>
      <c r="H572" t="s">
        <v>1239</v>
      </c>
      <c r="I572" t="s">
        <v>1240</v>
      </c>
      <c r="J572" t="str">
        <f t="shared" si="84"/>
        <v>081212</v>
      </c>
      <c r="K572" t="s">
        <v>21</v>
      </c>
      <c r="L572" t="s">
        <v>22</v>
      </c>
      <c r="M572" t="str">
        <f t="shared" si="85"/>
        <v>1</v>
      </c>
      <c r="O572" t="str">
        <f t="shared" si="83"/>
        <v>1 </v>
      </c>
      <c r="P572">
        <v>63.35</v>
      </c>
      <c r="Q572" t="s">
        <v>23</v>
      </c>
    </row>
    <row r="573" spans="1:17" ht="15">
      <c r="A573" t="s">
        <v>17</v>
      </c>
      <c r="B573" s="1">
        <v>41807</v>
      </c>
      <c r="C573" t="s">
        <v>1034</v>
      </c>
      <c r="D573" t="str">
        <f>CONCATENATE("0040033969","")</f>
        <v>0040033969</v>
      </c>
      <c r="E573" t="str">
        <f>CONCATENATE("0121141001210       ","")</f>
        <v>0121141001210       </v>
      </c>
      <c r="F573" t="str">
        <f>CONCATENATE("606673985","")</f>
        <v>606673985</v>
      </c>
      <c r="G573" t="s">
        <v>1241</v>
      </c>
      <c r="H573" t="s">
        <v>1242</v>
      </c>
      <c r="I573" t="s">
        <v>1243</v>
      </c>
      <c r="J573" t="str">
        <f t="shared" si="84"/>
        <v>081212</v>
      </c>
      <c r="K573" t="s">
        <v>21</v>
      </c>
      <c r="L573" t="s">
        <v>22</v>
      </c>
      <c r="M573" t="str">
        <f t="shared" si="85"/>
        <v>1</v>
      </c>
      <c r="O573" t="str">
        <f t="shared" si="83"/>
        <v>1 </v>
      </c>
      <c r="P573">
        <v>13</v>
      </c>
      <c r="Q573" t="s">
        <v>23</v>
      </c>
    </row>
    <row r="574" spans="1:17" ht="15">
      <c r="A574" t="s">
        <v>17</v>
      </c>
      <c r="B574" s="1">
        <v>41807</v>
      </c>
      <c r="C574" t="s">
        <v>1034</v>
      </c>
      <c r="D574" t="str">
        <f>CONCATENATE("0040033966","")</f>
        <v>0040033966</v>
      </c>
      <c r="E574" t="str">
        <f>CONCATENATE("0121141003050       ","")</f>
        <v>0121141003050       </v>
      </c>
      <c r="F574" t="str">
        <f>CONCATENATE("606673982","")</f>
        <v>606673982</v>
      </c>
      <c r="G574" t="s">
        <v>1241</v>
      </c>
      <c r="H574" t="s">
        <v>1244</v>
      </c>
      <c r="I574" t="s">
        <v>1243</v>
      </c>
      <c r="J574" t="str">
        <f t="shared" si="84"/>
        <v>081212</v>
      </c>
      <c r="K574" t="s">
        <v>21</v>
      </c>
      <c r="L574" t="s">
        <v>22</v>
      </c>
      <c r="M574" t="str">
        <f t="shared" si="85"/>
        <v>1</v>
      </c>
      <c r="O574" t="str">
        <f>CONCATENATE("2 ","")</f>
        <v>2 </v>
      </c>
      <c r="P574">
        <v>17.1</v>
      </c>
      <c r="Q574" t="s">
        <v>23</v>
      </c>
    </row>
    <row r="575" spans="1:17" ht="15">
      <c r="A575" t="s">
        <v>17</v>
      </c>
      <c r="B575" s="1">
        <v>41807</v>
      </c>
      <c r="C575" t="s">
        <v>1034</v>
      </c>
      <c r="D575" t="str">
        <f>CONCATENATE("0040033980","")</f>
        <v>0040033980</v>
      </c>
      <c r="E575" t="str">
        <f>CONCATENATE("0121141003080       ","")</f>
        <v>0121141003080       </v>
      </c>
      <c r="F575" t="str">
        <f>CONCATENATE("606673961","")</f>
        <v>606673961</v>
      </c>
      <c r="G575" t="s">
        <v>1241</v>
      </c>
      <c r="H575" t="s">
        <v>1245</v>
      </c>
      <c r="I575" t="s">
        <v>1246</v>
      </c>
      <c r="J575" t="str">
        <f t="shared" si="84"/>
        <v>081212</v>
      </c>
      <c r="K575" t="s">
        <v>21</v>
      </c>
      <c r="L575" t="s">
        <v>22</v>
      </c>
      <c r="M575" t="str">
        <f t="shared" si="85"/>
        <v>1</v>
      </c>
      <c r="O575" t="str">
        <f>CONCATENATE("1 ","")</f>
        <v>1 </v>
      </c>
      <c r="P575">
        <v>28.55</v>
      </c>
      <c r="Q575" t="s">
        <v>23</v>
      </c>
    </row>
    <row r="576" spans="1:17" ht="15">
      <c r="A576" t="s">
        <v>17</v>
      </c>
      <c r="B576" s="1">
        <v>41807</v>
      </c>
      <c r="C576" t="s">
        <v>1034</v>
      </c>
      <c r="D576" t="str">
        <f>CONCATENATE("0040032789","")</f>
        <v>0040032789</v>
      </c>
      <c r="E576" t="str">
        <f>CONCATENATE("0121142010240       ","")</f>
        <v>0121142010240       </v>
      </c>
      <c r="F576" t="str">
        <f>CONCATENATE("606143765","")</f>
        <v>606143765</v>
      </c>
      <c r="G576" t="s">
        <v>1247</v>
      </c>
      <c r="H576" t="s">
        <v>1248</v>
      </c>
      <c r="I576" t="s">
        <v>1249</v>
      </c>
      <c r="J576" t="str">
        <f t="shared" si="84"/>
        <v>081212</v>
      </c>
      <c r="K576" t="s">
        <v>21</v>
      </c>
      <c r="L576" t="s">
        <v>22</v>
      </c>
      <c r="M576" t="str">
        <f t="shared" si="85"/>
        <v>1</v>
      </c>
      <c r="O576" t="str">
        <f>CONCATENATE("5 ","")</f>
        <v>5 </v>
      </c>
      <c r="P576">
        <v>39.15</v>
      </c>
      <c r="Q576" t="s">
        <v>23</v>
      </c>
    </row>
    <row r="577" spans="1:17" ht="15">
      <c r="A577" t="s">
        <v>17</v>
      </c>
      <c r="B577" s="1">
        <v>41807</v>
      </c>
      <c r="C577" t="s">
        <v>1034</v>
      </c>
      <c r="D577" t="str">
        <f>CONCATENATE("0040032748","")</f>
        <v>0040032748</v>
      </c>
      <c r="E577" t="str">
        <f>CONCATENATE("0121142030100       ","")</f>
        <v>0121142030100       </v>
      </c>
      <c r="F577" t="str">
        <f>CONCATENATE("606095321","")</f>
        <v>606095321</v>
      </c>
      <c r="G577" t="s">
        <v>1247</v>
      </c>
      <c r="H577" t="s">
        <v>1250</v>
      </c>
      <c r="I577" t="s">
        <v>1251</v>
      </c>
      <c r="J577" t="str">
        <f t="shared" si="84"/>
        <v>081212</v>
      </c>
      <c r="K577" t="s">
        <v>21</v>
      </c>
      <c r="L577" t="s">
        <v>22</v>
      </c>
      <c r="M577" t="str">
        <f t="shared" si="85"/>
        <v>1</v>
      </c>
      <c r="O577" t="str">
        <f>CONCATENATE("1 ","")</f>
        <v>1 </v>
      </c>
      <c r="P577">
        <v>11.2</v>
      </c>
      <c r="Q577" t="s">
        <v>23</v>
      </c>
    </row>
    <row r="578" spans="1:17" ht="15">
      <c r="A578" t="s">
        <v>17</v>
      </c>
      <c r="B578" s="1">
        <v>41807</v>
      </c>
      <c r="C578" t="s">
        <v>1034</v>
      </c>
      <c r="D578" t="str">
        <f>CONCATENATE("0040032747","")</f>
        <v>0040032747</v>
      </c>
      <c r="E578" t="str">
        <f>CONCATENATE("0121142030150       ","")</f>
        <v>0121142030150       </v>
      </c>
      <c r="F578" t="str">
        <f>CONCATENATE("606144564","")</f>
        <v>606144564</v>
      </c>
      <c r="G578" t="s">
        <v>1247</v>
      </c>
      <c r="H578" t="s">
        <v>1252</v>
      </c>
      <c r="I578" t="s">
        <v>1251</v>
      </c>
      <c r="J578" t="str">
        <f t="shared" si="84"/>
        <v>081212</v>
      </c>
      <c r="K578" t="s">
        <v>21</v>
      </c>
      <c r="L578" t="s">
        <v>22</v>
      </c>
      <c r="M578" t="str">
        <f t="shared" si="85"/>
        <v>1</v>
      </c>
      <c r="O578" t="str">
        <f>CONCATENATE("5 ","")</f>
        <v>5 </v>
      </c>
      <c r="P578">
        <v>34.6</v>
      </c>
      <c r="Q578" t="s">
        <v>23</v>
      </c>
    </row>
    <row r="579" spans="1:17" ht="15">
      <c r="A579" t="s">
        <v>17</v>
      </c>
      <c r="B579" s="1">
        <v>41807</v>
      </c>
      <c r="C579" t="s">
        <v>1034</v>
      </c>
      <c r="D579" t="str">
        <f>CONCATENATE("0040032744","")</f>
        <v>0040032744</v>
      </c>
      <c r="E579" t="str">
        <f>CONCATENATE("0121142030190       ","")</f>
        <v>0121142030190       </v>
      </c>
      <c r="F579" t="str">
        <f>CONCATENATE("606144331","")</f>
        <v>606144331</v>
      </c>
      <c r="G579" t="s">
        <v>1247</v>
      </c>
      <c r="H579" t="s">
        <v>1253</v>
      </c>
      <c r="I579" t="s">
        <v>1251</v>
      </c>
      <c r="J579" t="str">
        <f t="shared" si="84"/>
        <v>081212</v>
      </c>
      <c r="K579" t="s">
        <v>21</v>
      </c>
      <c r="L579" t="s">
        <v>22</v>
      </c>
      <c r="M579" t="str">
        <f t="shared" si="85"/>
        <v>1</v>
      </c>
      <c r="O579" t="str">
        <f>CONCATENATE("1 ","")</f>
        <v>1 </v>
      </c>
      <c r="P579">
        <v>20.1</v>
      </c>
      <c r="Q579" t="s">
        <v>23</v>
      </c>
    </row>
    <row r="580" spans="1:17" ht="15">
      <c r="A580" t="s">
        <v>17</v>
      </c>
      <c r="B580" s="1">
        <v>41807</v>
      </c>
      <c r="C580" t="s">
        <v>1034</v>
      </c>
      <c r="D580" t="str">
        <f>CONCATENATE("0040032798","")</f>
        <v>0040032798</v>
      </c>
      <c r="E580" t="str">
        <f>CONCATENATE("0121142040030       ","")</f>
        <v>0121142040030       </v>
      </c>
      <c r="F580" t="str">
        <f>CONCATENATE("606144342","")</f>
        <v>606144342</v>
      </c>
      <c r="G580" t="s">
        <v>1247</v>
      </c>
      <c r="H580" t="s">
        <v>1254</v>
      </c>
      <c r="I580" t="s">
        <v>1249</v>
      </c>
      <c r="J580" t="str">
        <f t="shared" si="84"/>
        <v>081212</v>
      </c>
      <c r="K580" t="s">
        <v>21</v>
      </c>
      <c r="L580" t="s">
        <v>22</v>
      </c>
      <c r="M580" t="str">
        <f t="shared" si="85"/>
        <v>1</v>
      </c>
      <c r="O580" t="str">
        <f>CONCATENATE("1 ","")</f>
        <v>1 </v>
      </c>
      <c r="P580">
        <v>25.15</v>
      </c>
      <c r="Q580" t="s">
        <v>23</v>
      </c>
    </row>
    <row r="581" spans="1:17" ht="15">
      <c r="A581" t="s">
        <v>17</v>
      </c>
      <c r="B581" s="1">
        <v>41807</v>
      </c>
      <c r="C581" t="s">
        <v>1034</v>
      </c>
      <c r="D581" t="str">
        <f>CONCATENATE("0040032800","")</f>
        <v>0040032800</v>
      </c>
      <c r="E581" t="str">
        <f>CONCATENATE("0121142040060       ","")</f>
        <v>0121142040060       </v>
      </c>
      <c r="F581" t="str">
        <f>CONCATENATE("606144335","")</f>
        <v>606144335</v>
      </c>
      <c r="G581" t="s">
        <v>1247</v>
      </c>
      <c r="H581" t="s">
        <v>1255</v>
      </c>
      <c r="I581" t="s">
        <v>1249</v>
      </c>
      <c r="J581" t="str">
        <f t="shared" si="84"/>
        <v>081212</v>
      </c>
      <c r="K581" t="s">
        <v>21</v>
      </c>
      <c r="L581" t="s">
        <v>22</v>
      </c>
      <c r="M581" t="str">
        <f t="shared" si="85"/>
        <v>1</v>
      </c>
      <c r="O581" t="str">
        <f>CONCATENATE("1 ","")</f>
        <v>1 </v>
      </c>
      <c r="P581">
        <v>37.7</v>
      </c>
      <c r="Q581" t="s">
        <v>23</v>
      </c>
    </row>
    <row r="582" spans="1:17" ht="15">
      <c r="A582" t="s">
        <v>17</v>
      </c>
      <c r="B582" s="1">
        <v>41807</v>
      </c>
      <c r="C582" t="s">
        <v>1034</v>
      </c>
      <c r="D582" t="str">
        <f>CONCATENATE("0040032808","")</f>
        <v>0040032808</v>
      </c>
      <c r="E582" t="str">
        <f>CONCATENATE("0121142040140       ","")</f>
        <v>0121142040140       </v>
      </c>
      <c r="F582" t="str">
        <f>CONCATENATE("606144355","")</f>
        <v>606144355</v>
      </c>
      <c r="G582" t="s">
        <v>1247</v>
      </c>
      <c r="H582" t="s">
        <v>1256</v>
      </c>
      <c r="I582" t="s">
        <v>1249</v>
      </c>
      <c r="J582" t="str">
        <f t="shared" si="84"/>
        <v>081212</v>
      </c>
      <c r="K582" t="s">
        <v>21</v>
      </c>
      <c r="L582" t="s">
        <v>22</v>
      </c>
      <c r="M582" t="str">
        <f t="shared" si="85"/>
        <v>1</v>
      </c>
      <c r="O582" t="str">
        <f>CONCATENATE("1 ","")</f>
        <v>1 </v>
      </c>
      <c r="P582">
        <v>29.15</v>
      </c>
      <c r="Q582" t="s">
        <v>23</v>
      </c>
    </row>
    <row r="583" spans="1:17" ht="15">
      <c r="A583" t="s">
        <v>17</v>
      </c>
      <c r="B583" s="1">
        <v>41807</v>
      </c>
      <c r="C583" t="s">
        <v>1034</v>
      </c>
      <c r="D583" t="str">
        <f>CONCATENATE("0040032807","")</f>
        <v>0040032807</v>
      </c>
      <c r="E583" t="str">
        <f>CONCATENATE("0121142040150       ","")</f>
        <v>0121142040150       </v>
      </c>
      <c r="F583" t="str">
        <f>CONCATENATE("606144357","")</f>
        <v>606144357</v>
      </c>
      <c r="G583" t="s">
        <v>1247</v>
      </c>
      <c r="H583" t="s">
        <v>1257</v>
      </c>
      <c r="I583" t="s">
        <v>1249</v>
      </c>
      <c r="J583" t="str">
        <f t="shared" si="84"/>
        <v>081212</v>
      </c>
      <c r="K583" t="s">
        <v>21</v>
      </c>
      <c r="L583" t="s">
        <v>22</v>
      </c>
      <c r="M583" t="str">
        <f t="shared" si="85"/>
        <v>1</v>
      </c>
      <c r="O583" t="str">
        <f>CONCATENATE("4 ","")</f>
        <v>4 </v>
      </c>
      <c r="P583">
        <v>219.35</v>
      </c>
      <c r="Q583" t="s">
        <v>23</v>
      </c>
    </row>
    <row r="584" spans="1:17" ht="15">
      <c r="A584" t="s">
        <v>17</v>
      </c>
      <c r="B584" s="1">
        <v>41807</v>
      </c>
      <c r="C584" t="s">
        <v>1034</v>
      </c>
      <c r="D584" t="str">
        <f>CONCATENATE("0040032810","")</f>
        <v>0040032810</v>
      </c>
      <c r="E584" t="str">
        <f>CONCATENATE("0121142040180       ","")</f>
        <v>0121142040180       </v>
      </c>
      <c r="F584" t="str">
        <f>CONCATENATE("606144349","")</f>
        <v>606144349</v>
      </c>
      <c r="G584" t="s">
        <v>1247</v>
      </c>
      <c r="H584" t="s">
        <v>1258</v>
      </c>
      <c r="I584" t="s">
        <v>1249</v>
      </c>
      <c r="J584" t="str">
        <f t="shared" si="84"/>
        <v>081212</v>
      </c>
      <c r="K584" t="s">
        <v>21</v>
      </c>
      <c r="L584" t="s">
        <v>22</v>
      </c>
      <c r="M584" t="str">
        <f t="shared" si="85"/>
        <v>1</v>
      </c>
      <c r="O584" t="str">
        <f>CONCATENATE("4 ","")</f>
        <v>4 </v>
      </c>
      <c r="P584">
        <v>220.2</v>
      </c>
      <c r="Q584" t="s">
        <v>23</v>
      </c>
    </row>
    <row r="585" spans="1:17" ht="15">
      <c r="A585" t="s">
        <v>17</v>
      </c>
      <c r="B585" s="1">
        <v>41807</v>
      </c>
      <c r="C585" t="s">
        <v>1034</v>
      </c>
      <c r="D585" t="str">
        <f>CONCATENATE("0040032812","")</f>
        <v>0040032812</v>
      </c>
      <c r="E585" t="str">
        <f>CONCATENATE("0121142040210       ","")</f>
        <v>0121142040210       </v>
      </c>
      <c r="F585" t="str">
        <f>CONCATENATE("606144343","")</f>
        <v>606144343</v>
      </c>
      <c r="G585" t="s">
        <v>1247</v>
      </c>
      <c r="H585" t="s">
        <v>1259</v>
      </c>
      <c r="I585" t="s">
        <v>1249</v>
      </c>
      <c r="J585" t="str">
        <f t="shared" si="84"/>
        <v>081212</v>
      </c>
      <c r="K585" t="s">
        <v>21</v>
      </c>
      <c r="L585" t="s">
        <v>22</v>
      </c>
      <c r="M585" t="str">
        <f t="shared" si="85"/>
        <v>1</v>
      </c>
      <c r="O585" t="str">
        <f aca="true" t="shared" si="86" ref="O585:O607">CONCATENATE("1 ","")</f>
        <v>1 </v>
      </c>
      <c r="P585">
        <v>17.8</v>
      </c>
      <c r="Q585" t="s">
        <v>23</v>
      </c>
    </row>
    <row r="586" spans="1:17" ht="15">
      <c r="A586" t="s">
        <v>17</v>
      </c>
      <c r="B586" s="1">
        <v>41807</v>
      </c>
      <c r="C586" t="s">
        <v>1034</v>
      </c>
      <c r="D586" t="str">
        <f>CONCATENATE("0130015170","")</f>
        <v>0130015170</v>
      </c>
      <c r="E586" t="str">
        <f>CONCATENATE("0121143000010       ","")</f>
        <v>0121143000010       </v>
      </c>
      <c r="F586" t="str">
        <f>CONCATENATE("1431674","")</f>
        <v>1431674</v>
      </c>
      <c r="G586" t="s">
        <v>1260</v>
      </c>
      <c r="H586" t="s">
        <v>1261</v>
      </c>
      <c r="I586" t="s">
        <v>1262</v>
      </c>
      <c r="J586" t="str">
        <f t="shared" si="84"/>
        <v>081212</v>
      </c>
      <c r="K586" t="s">
        <v>21</v>
      </c>
      <c r="L586" t="s">
        <v>22</v>
      </c>
      <c r="M586" t="str">
        <f t="shared" si="85"/>
        <v>1</v>
      </c>
      <c r="O586" t="str">
        <f t="shared" si="86"/>
        <v>1 </v>
      </c>
      <c r="P586">
        <v>21.15</v>
      </c>
      <c r="Q586" t="s">
        <v>23</v>
      </c>
    </row>
    <row r="587" spans="1:17" ht="15">
      <c r="A587" t="s">
        <v>17</v>
      </c>
      <c r="B587" s="1">
        <v>41807</v>
      </c>
      <c r="C587" t="s">
        <v>1034</v>
      </c>
      <c r="D587" t="str">
        <f>CONCATENATE("0040033043","")</f>
        <v>0040033043</v>
      </c>
      <c r="E587" t="str">
        <f>CONCATENATE("0121143000038       ","")</f>
        <v>0121143000038       </v>
      </c>
      <c r="F587" t="str">
        <f>CONCATENATE("2187109","")</f>
        <v>2187109</v>
      </c>
      <c r="G587" t="s">
        <v>1260</v>
      </c>
      <c r="H587" t="s">
        <v>1263</v>
      </c>
      <c r="I587" t="s">
        <v>1264</v>
      </c>
      <c r="J587" t="str">
        <f t="shared" si="84"/>
        <v>081212</v>
      </c>
      <c r="K587" t="s">
        <v>21</v>
      </c>
      <c r="L587" t="s">
        <v>22</v>
      </c>
      <c r="M587" t="str">
        <f t="shared" si="85"/>
        <v>1</v>
      </c>
      <c r="O587" t="str">
        <f t="shared" si="86"/>
        <v>1 </v>
      </c>
      <c r="P587">
        <v>30.75</v>
      </c>
      <c r="Q587" t="s">
        <v>23</v>
      </c>
    </row>
    <row r="588" spans="1:17" ht="15">
      <c r="A588" t="s">
        <v>17</v>
      </c>
      <c r="B588" s="1">
        <v>41807</v>
      </c>
      <c r="C588" t="s">
        <v>1034</v>
      </c>
      <c r="D588" t="str">
        <f>CONCATENATE("0130021551","")</f>
        <v>0130021551</v>
      </c>
      <c r="E588" t="str">
        <f>CONCATENATE("0121143000091       ","")</f>
        <v>0121143000091       </v>
      </c>
      <c r="F588" t="str">
        <f>CONCATENATE("605877913","")</f>
        <v>605877913</v>
      </c>
      <c r="G588" t="s">
        <v>1260</v>
      </c>
      <c r="H588" t="s">
        <v>1265</v>
      </c>
      <c r="I588" t="s">
        <v>1266</v>
      </c>
      <c r="J588" t="str">
        <f t="shared" si="84"/>
        <v>081212</v>
      </c>
      <c r="K588" t="s">
        <v>21</v>
      </c>
      <c r="L588" t="s">
        <v>22</v>
      </c>
      <c r="M588" t="str">
        <f t="shared" si="85"/>
        <v>1</v>
      </c>
      <c r="O588" t="str">
        <f t="shared" si="86"/>
        <v>1 </v>
      </c>
      <c r="P588">
        <v>13.55</v>
      </c>
      <c r="Q588" t="s">
        <v>23</v>
      </c>
    </row>
    <row r="589" spans="1:17" ht="15">
      <c r="A589" t="s">
        <v>17</v>
      </c>
      <c r="B589" s="1">
        <v>41807</v>
      </c>
      <c r="C589" t="s">
        <v>1034</v>
      </c>
      <c r="D589" t="str">
        <f>CONCATENATE("0130021578","")</f>
        <v>0130021578</v>
      </c>
      <c r="E589" t="str">
        <f>CONCATENATE("0121143000095       ","")</f>
        <v>0121143000095       </v>
      </c>
      <c r="F589" t="str">
        <f>CONCATENATE("1930532","")</f>
        <v>1930532</v>
      </c>
      <c r="G589" t="s">
        <v>1260</v>
      </c>
      <c r="H589" t="s">
        <v>1267</v>
      </c>
      <c r="I589" t="s">
        <v>1243</v>
      </c>
      <c r="J589" t="str">
        <f t="shared" si="84"/>
        <v>081212</v>
      </c>
      <c r="K589" t="s">
        <v>21</v>
      </c>
      <c r="L589" t="s">
        <v>22</v>
      </c>
      <c r="M589" t="str">
        <f t="shared" si="85"/>
        <v>1</v>
      </c>
      <c r="O589" t="str">
        <f t="shared" si="86"/>
        <v>1 </v>
      </c>
      <c r="P589">
        <v>18.2</v>
      </c>
      <c r="Q589" t="s">
        <v>23</v>
      </c>
    </row>
    <row r="590" spans="1:17" ht="15">
      <c r="A590" t="s">
        <v>17</v>
      </c>
      <c r="B590" s="1">
        <v>41807</v>
      </c>
      <c r="C590" t="s">
        <v>1034</v>
      </c>
      <c r="D590" t="str">
        <f>CONCATENATE("0130021521","")</f>
        <v>0130021521</v>
      </c>
      <c r="E590" t="str">
        <f>CONCATENATE("0121143000150       ","")</f>
        <v>0121143000150       </v>
      </c>
      <c r="F590" t="str">
        <f>CONCATENATE("1930687","")</f>
        <v>1930687</v>
      </c>
      <c r="G590" t="s">
        <v>1260</v>
      </c>
      <c r="H590" t="s">
        <v>1268</v>
      </c>
      <c r="I590" t="s">
        <v>1243</v>
      </c>
      <c r="J590" t="str">
        <f t="shared" si="84"/>
        <v>081212</v>
      </c>
      <c r="K590" t="s">
        <v>21</v>
      </c>
      <c r="L590" t="s">
        <v>22</v>
      </c>
      <c r="M590" t="str">
        <f t="shared" si="85"/>
        <v>1</v>
      </c>
      <c r="O590" t="str">
        <f t="shared" si="86"/>
        <v>1 </v>
      </c>
      <c r="P590">
        <v>13.95</v>
      </c>
      <c r="Q590" t="s">
        <v>23</v>
      </c>
    </row>
    <row r="591" spans="1:17" ht="15">
      <c r="A591" t="s">
        <v>17</v>
      </c>
      <c r="B591" s="1">
        <v>41807</v>
      </c>
      <c r="C591" t="s">
        <v>1034</v>
      </c>
      <c r="D591" t="str">
        <f>CONCATENATE("0130020515","")</f>
        <v>0130020515</v>
      </c>
      <c r="E591" t="str">
        <f>CONCATENATE("0121143000165       ","")</f>
        <v>0121143000165       </v>
      </c>
      <c r="F591" t="str">
        <f>CONCATENATE("1600428","")</f>
        <v>1600428</v>
      </c>
      <c r="G591" t="s">
        <v>1260</v>
      </c>
      <c r="H591" t="s">
        <v>1269</v>
      </c>
      <c r="I591" t="s">
        <v>1270</v>
      </c>
      <c r="J591" t="str">
        <f t="shared" si="84"/>
        <v>081212</v>
      </c>
      <c r="K591" t="s">
        <v>21</v>
      </c>
      <c r="L591" t="s">
        <v>22</v>
      </c>
      <c r="M591" t="str">
        <f t="shared" si="85"/>
        <v>1</v>
      </c>
      <c r="O591" t="str">
        <f t="shared" si="86"/>
        <v>1 </v>
      </c>
      <c r="P591">
        <v>13.9</v>
      </c>
      <c r="Q591" t="s">
        <v>23</v>
      </c>
    </row>
    <row r="592" spans="1:17" ht="15">
      <c r="A592" t="s">
        <v>17</v>
      </c>
      <c r="B592" s="1">
        <v>41807</v>
      </c>
      <c r="C592" t="s">
        <v>1034</v>
      </c>
      <c r="D592" t="str">
        <f>CONCATENATE("0040031056","")</f>
        <v>0040031056</v>
      </c>
      <c r="E592" t="str">
        <f>CONCATENATE("0121143000455       ","")</f>
        <v>0121143000455       </v>
      </c>
      <c r="F592" t="str">
        <f>CONCATENATE("606596756","")</f>
        <v>606596756</v>
      </c>
      <c r="G592" t="s">
        <v>1260</v>
      </c>
      <c r="H592" t="s">
        <v>1271</v>
      </c>
      <c r="I592" t="s">
        <v>1272</v>
      </c>
      <c r="J592" t="str">
        <f t="shared" si="84"/>
        <v>081212</v>
      </c>
      <c r="K592" t="s">
        <v>21</v>
      </c>
      <c r="L592" t="s">
        <v>22</v>
      </c>
      <c r="M592" t="str">
        <f t="shared" si="85"/>
        <v>1</v>
      </c>
      <c r="O592" t="str">
        <f t="shared" si="86"/>
        <v>1 </v>
      </c>
      <c r="P592">
        <v>12.9</v>
      </c>
      <c r="Q592" t="s">
        <v>23</v>
      </c>
    </row>
    <row r="593" spans="1:17" ht="15">
      <c r="A593" t="s">
        <v>17</v>
      </c>
      <c r="B593" s="1">
        <v>41807</v>
      </c>
      <c r="C593" t="s">
        <v>1034</v>
      </c>
      <c r="D593" t="str">
        <f>CONCATENATE("0040033148","")</f>
        <v>0040033148</v>
      </c>
      <c r="E593" t="str">
        <f>CONCATENATE("0121143001200       ","")</f>
        <v>0121143001200       </v>
      </c>
      <c r="F593" t="str">
        <f>CONCATENATE("606095209","")</f>
        <v>606095209</v>
      </c>
      <c r="G593" t="s">
        <v>1260</v>
      </c>
      <c r="H593" t="s">
        <v>1273</v>
      </c>
      <c r="I593" t="s">
        <v>1274</v>
      </c>
      <c r="J593" t="str">
        <f t="shared" si="84"/>
        <v>081212</v>
      </c>
      <c r="K593" t="s">
        <v>21</v>
      </c>
      <c r="L593" t="s">
        <v>22</v>
      </c>
      <c r="M593" t="str">
        <f t="shared" si="85"/>
        <v>1</v>
      </c>
      <c r="O593" t="str">
        <f t="shared" si="86"/>
        <v>1 </v>
      </c>
      <c r="P593">
        <v>15.8</v>
      </c>
      <c r="Q593" t="s">
        <v>23</v>
      </c>
    </row>
    <row r="594" spans="1:17" ht="15">
      <c r="A594" t="s">
        <v>17</v>
      </c>
      <c r="B594" s="1">
        <v>41807</v>
      </c>
      <c r="C594" t="s">
        <v>1034</v>
      </c>
      <c r="D594" t="str">
        <f>CONCATENATE("0040033154","")</f>
        <v>0040033154</v>
      </c>
      <c r="E594" t="str">
        <f>CONCATENATE("0121143001210       ","")</f>
        <v>0121143001210       </v>
      </c>
      <c r="F594" t="str">
        <f>CONCATENATE("606095194","")</f>
        <v>606095194</v>
      </c>
      <c r="G594" t="s">
        <v>1260</v>
      </c>
      <c r="H594" t="s">
        <v>1275</v>
      </c>
      <c r="I594" t="s">
        <v>1274</v>
      </c>
      <c r="J594" t="str">
        <f t="shared" si="84"/>
        <v>081212</v>
      </c>
      <c r="K594" t="s">
        <v>21</v>
      </c>
      <c r="L594" t="s">
        <v>22</v>
      </c>
      <c r="M594" t="str">
        <f t="shared" si="85"/>
        <v>1</v>
      </c>
      <c r="O594" t="str">
        <f t="shared" si="86"/>
        <v>1 </v>
      </c>
      <c r="P594">
        <v>12</v>
      </c>
      <c r="Q594" t="s">
        <v>23</v>
      </c>
    </row>
    <row r="595" spans="1:17" ht="15">
      <c r="A595" t="s">
        <v>17</v>
      </c>
      <c r="B595" s="1">
        <v>41807</v>
      </c>
      <c r="C595" t="s">
        <v>1034</v>
      </c>
      <c r="D595" t="str">
        <f>CONCATENATE("0040033169","")</f>
        <v>0040033169</v>
      </c>
      <c r="E595" t="str">
        <f>CONCATENATE("0121143002010       ","")</f>
        <v>0121143002010       </v>
      </c>
      <c r="F595" t="str">
        <f>CONCATENATE("606095205","")</f>
        <v>606095205</v>
      </c>
      <c r="G595" t="s">
        <v>1260</v>
      </c>
      <c r="H595" t="s">
        <v>1276</v>
      </c>
      <c r="I595" t="s">
        <v>1274</v>
      </c>
      <c r="J595" t="str">
        <f t="shared" si="84"/>
        <v>081212</v>
      </c>
      <c r="K595" t="s">
        <v>21</v>
      </c>
      <c r="L595" t="s">
        <v>22</v>
      </c>
      <c r="M595" t="str">
        <f t="shared" si="85"/>
        <v>1</v>
      </c>
      <c r="O595" t="str">
        <f t="shared" si="86"/>
        <v>1 </v>
      </c>
      <c r="P595">
        <v>16.4</v>
      </c>
      <c r="Q595" t="s">
        <v>23</v>
      </c>
    </row>
    <row r="596" spans="1:17" ht="15">
      <c r="A596" t="s">
        <v>17</v>
      </c>
      <c r="B596" s="1">
        <v>41807</v>
      </c>
      <c r="C596" t="s">
        <v>1034</v>
      </c>
      <c r="D596" t="str">
        <f>CONCATENATE("0040033166","")</f>
        <v>0040033166</v>
      </c>
      <c r="E596" t="str">
        <f>CONCATENATE("0121143002060       ","")</f>
        <v>0121143002060       </v>
      </c>
      <c r="F596" t="str">
        <f>CONCATENATE("606095213","")</f>
        <v>606095213</v>
      </c>
      <c r="G596" t="s">
        <v>1260</v>
      </c>
      <c r="H596" t="s">
        <v>1277</v>
      </c>
      <c r="I596" t="s">
        <v>1274</v>
      </c>
      <c r="J596" t="str">
        <f t="shared" si="84"/>
        <v>081212</v>
      </c>
      <c r="K596" t="s">
        <v>21</v>
      </c>
      <c r="L596" t="s">
        <v>22</v>
      </c>
      <c r="M596" t="str">
        <f t="shared" si="85"/>
        <v>1</v>
      </c>
      <c r="O596" t="str">
        <f t="shared" si="86"/>
        <v>1 </v>
      </c>
      <c r="P596">
        <v>30.85</v>
      </c>
      <c r="Q596" t="s">
        <v>23</v>
      </c>
    </row>
    <row r="597" spans="1:17" ht="15">
      <c r="A597" t="s">
        <v>17</v>
      </c>
      <c r="B597" s="1">
        <v>41807</v>
      </c>
      <c r="C597" t="s">
        <v>1034</v>
      </c>
      <c r="D597" t="str">
        <f>CONCATENATE("0040033161","")</f>
        <v>0040033161</v>
      </c>
      <c r="E597" t="str">
        <f>CONCATENATE("0121143002080       ","")</f>
        <v>0121143002080       </v>
      </c>
      <c r="F597" t="str">
        <f>CONCATENATE("606095211","")</f>
        <v>606095211</v>
      </c>
      <c r="G597" t="s">
        <v>1260</v>
      </c>
      <c r="H597" t="s">
        <v>1278</v>
      </c>
      <c r="I597" t="s">
        <v>1274</v>
      </c>
      <c r="J597" t="str">
        <f t="shared" si="84"/>
        <v>081212</v>
      </c>
      <c r="K597" t="s">
        <v>21</v>
      </c>
      <c r="L597" t="s">
        <v>22</v>
      </c>
      <c r="M597" t="str">
        <f t="shared" si="85"/>
        <v>1</v>
      </c>
      <c r="O597" t="str">
        <f t="shared" si="86"/>
        <v>1 </v>
      </c>
      <c r="P597">
        <v>17.7</v>
      </c>
      <c r="Q597" t="s">
        <v>23</v>
      </c>
    </row>
    <row r="598" spans="1:17" ht="15">
      <c r="A598" t="s">
        <v>17</v>
      </c>
      <c r="B598" s="1">
        <v>41807</v>
      </c>
      <c r="C598" t="s">
        <v>1034</v>
      </c>
      <c r="D598" t="str">
        <f>CONCATENATE("0040033140","")</f>
        <v>0040033140</v>
      </c>
      <c r="E598" t="str">
        <f>CONCATENATE("0121143002090       ","")</f>
        <v>0121143002090       </v>
      </c>
      <c r="F598" t="str">
        <f>CONCATENATE("606095207","")</f>
        <v>606095207</v>
      </c>
      <c r="G598" t="s">
        <v>1260</v>
      </c>
      <c r="H598" t="s">
        <v>1279</v>
      </c>
      <c r="I598" t="s">
        <v>1274</v>
      </c>
      <c r="J598" t="str">
        <f t="shared" si="84"/>
        <v>081212</v>
      </c>
      <c r="K598" t="s">
        <v>21</v>
      </c>
      <c r="L598" t="s">
        <v>22</v>
      </c>
      <c r="M598" t="str">
        <f t="shared" si="85"/>
        <v>1</v>
      </c>
      <c r="O598" t="str">
        <f t="shared" si="86"/>
        <v>1 </v>
      </c>
      <c r="P598">
        <v>11.75</v>
      </c>
      <c r="Q598" t="s">
        <v>23</v>
      </c>
    </row>
    <row r="599" spans="1:17" ht="15">
      <c r="A599" t="s">
        <v>17</v>
      </c>
      <c r="B599" s="1">
        <v>41807</v>
      </c>
      <c r="C599" t="s">
        <v>1034</v>
      </c>
      <c r="D599" t="str">
        <f>CONCATENATE("0040033144","")</f>
        <v>0040033144</v>
      </c>
      <c r="E599" t="str">
        <f>CONCATENATE("0121143002200       ","")</f>
        <v>0121143002200       </v>
      </c>
      <c r="F599" t="str">
        <f>CONCATENATE("606095192","")</f>
        <v>606095192</v>
      </c>
      <c r="G599" t="s">
        <v>1260</v>
      </c>
      <c r="H599" t="s">
        <v>1280</v>
      </c>
      <c r="I599" t="s">
        <v>1274</v>
      </c>
      <c r="J599" t="str">
        <f t="shared" si="84"/>
        <v>081212</v>
      </c>
      <c r="K599" t="s">
        <v>21</v>
      </c>
      <c r="L599" t="s">
        <v>22</v>
      </c>
      <c r="M599" t="str">
        <f t="shared" si="85"/>
        <v>1</v>
      </c>
      <c r="O599" t="str">
        <f t="shared" si="86"/>
        <v>1 </v>
      </c>
      <c r="P599">
        <v>12.05</v>
      </c>
      <c r="Q599" t="s">
        <v>23</v>
      </c>
    </row>
    <row r="600" spans="1:17" ht="15">
      <c r="A600" t="s">
        <v>17</v>
      </c>
      <c r="B600" s="1">
        <v>41807</v>
      </c>
      <c r="C600" t="s">
        <v>1034</v>
      </c>
      <c r="D600" t="str">
        <f>CONCATENATE("0040033143","")</f>
        <v>0040033143</v>
      </c>
      <c r="E600" t="str">
        <f>CONCATENATE("0121143002210       ","")</f>
        <v>0121143002210       </v>
      </c>
      <c r="F600" t="str">
        <f>CONCATENATE("606095204","")</f>
        <v>606095204</v>
      </c>
      <c r="G600" t="s">
        <v>1260</v>
      </c>
      <c r="H600" t="s">
        <v>1281</v>
      </c>
      <c r="I600" t="s">
        <v>1282</v>
      </c>
      <c r="J600" t="str">
        <f t="shared" si="84"/>
        <v>081212</v>
      </c>
      <c r="K600" t="s">
        <v>21</v>
      </c>
      <c r="L600" t="s">
        <v>22</v>
      </c>
      <c r="M600" t="str">
        <f t="shared" si="85"/>
        <v>1</v>
      </c>
      <c r="O600" t="str">
        <f t="shared" si="86"/>
        <v>1 </v>
      </c>
      <c r="P600">
        <v>18.1</v>
      </c>
      <c r="Q600" t="s">
        <v>23</v>
      </c>
    </row>
    <row r="601" spans="1:17" ht="15">
      <c r="A601" t="s">
        <v>17</v>
      </c>
      <c r="B601" s="1">
        <v>41807</v>
      </c>
      <c r="C601" t="s">
        <v>1034</v>
      </c>
      <c r="D601" t="str">
        <f>CONCATENATE("0040033156","")</f>
        <v>0040033156</v>
      </c>
      <c r="E601" t="str">
        <f>CONCATENATE("0121143002220       ","")</f>
        <v>0121143002220       </v>
      </c>
      <c r="F601" t="str">
        <f>CONCATENATE("606095195","")</f>
        <v>606095195</v>
      </c>
      <c r="G601" t="s">
        <v>1260</v>
      </c>
      <c r="H601" t="s">
        <v>1283</v>
      </c>
      <c r="I601" t="s">
        <v>1274</v>
      </c>
      <c r="J601" t="str">
        <f aca="true" t="shared" si="87" ref="J601:J624">CONCATENATE("081212","")</f>
        <v>081212</v>
      </c>
      <c r="K601" t="s">
        <v>21</v>
      </c>
      <c r="L601" t="s">
        <v>22</v>
      </c>
      <c r="M601" t="str">
        <f t="shared" si="85"/>
        <v>1</v>
      </c>
      <c r="O601" t="str">
        <f t="shared" si="86"/>
        <v>1 </v>
      </c>
      <c r="P601">
        <v>15.25</v>
      </c>
      <c r="Q601" t="s">
        <v>23</v>
      </c>
    </row>
    <row r="602" spans="1:17" ht="15">
      <c r="A602" t="s">
        <v>17</v>
      </c>
      <c r="B602" s="1">
        <v>41807</v>
      </c>
      <c r="C602" t="s">
        <v>1034</v>
      </c>
      <c r="D602" t="str">
        <f>CONCATENATE("0130017028","")</f>
        <v>0130017028</v>
      </c>
      <c r="E602" t="str">
        <f>CONCATENATE("0121144001030       ","")</f>
        <v>0121144001030       </v>
      </c>
      <c r="F602" t="str">
        <f>CONCATENATE("605751353","")</f>
        <v>605751353</v>
      </c>
      <c r="G602" t="s">
        <v>1284</v>
      </c>
      <c r="H602" t="s">
        <v>1285</v>
      </c>
      <c r="I602" t="s">
        <v>1286</v>
      </c>
      <c r="J602" t="str">
        <f t="shared" si="87"/>
        <v>081212</v>
      </c>
      <c r="K602" t="s">
        <v>21</v>
      </c>
      <c r="L602" t="s">
        <v>22</v>
      </c>
      <c r="M602" t="str">
        <f t="shared" si="85"/>
        <v>1</v>
      </c>
      <c r="O602" t="str">
        <f t="shared" si="86"/>
        <v>1 </v>
      </c>
      <c r="P602">
        <v>15.05</v>
      </c>
      <c r="Q602" t="s">
        <v>23</v>
      </c>
    </row>
    <row r="603" spans="1:17" ht="15">
      <c r="A603" t="s">
        <v>17</v>
      </c>
      <c r="B603" s="1">
        <v>41807</v>
      </c>
      <c r="C603" t="s">
        <v>1034</v>
      </c>
      <c r="D603" t="str">
        <f>CONCATENATE("0130021196","")</f>
        <v>0130021196</v>
      </c>
      <c r="E603" t="str">
        <f>CONCATENATE("0121144001040       ","")</f>
        <v>0121144001040       </v>
      </c>
      <c r="F603" t="str">
        <f>CONCATENATE("1934006","")</f>
        <v>1934006</v>
      </c>
      <c r="G603" t="s">
        <v>1284</v>
      </c>
      <c r="H603" t="s">
        <v>1287</v>
      </c>
      <c r="I603" t="s">
        <v>1288</v>
      </c>
      <c r="J603" t="str">
        <f t="shared" si="87"/>
        <v>081212</v>
      </c>
      <c r="K603" t="s">
        <v>21</v>
      </c>
      <c r="L603" t="s">
        <v>22</v>
      </c>
      <c r="M603" t="str">
        <f>CONCATENATE("2","")</f>
        <v>2</v>
      </c>
      <c r="O603" t="str">
        <f t="shared" si="86"/>
        <v>1 </v>
      </c>
      <c r="P603">
        <v>13.55</v>
      </c>
      <c r="Q603" t="s">
        <v>23</v>
      </c>
    </row>
    <row r="604" spans="1:17" ht="15">
      <c r="A604" t="s">
        <v>17</v>
      </c>
      <c r="B604" s="1">
        <v>41807</v>
      </c>
      <c r="C604" t="s">
        <v>1034</v>
      </c>
      <c r="D604" t="str">
        <f>CONCATENATE("0040030353","")</f>
        <v>0040030353</v>
      </c>
      <c r="E604" t="str">
        <f>CONCATENATE("0121145000115       ","")</f>
        <v>0121145000115       </v>
      </c>
      <c r="F604" t="str">
        <f>CONCATENATE("2182703","")</f>
        <v>2182703</v>
      </c>
      <c r="G604" t="s">
        <v>1289</v>
      </c>
      <c r="H604" t="s">
        <v>1290</v>
      </c>
      <c r="I604" t="s">
        <v>1291</v>
      </c>
      <c r="J604" t="str">
        <f t="shared" si="87"/>
        <v>081212</v>
      </c>
      <c r="K604" t="s">
        <v>21</v>
      </c>
      <c r="L604" t="s">
        <v>22</v>
      </c>
      <c r="M604" t="str">
        <f aca="true" t="shared" si="88" ref="M604:M635">CONCATENATE("1","")</f>
        <v>1</v>
      </c>
      <c r="O604" t="str">
        <f t="shared" si="86"/>
        <v>1 </v>
      </c>
      <c r="P604">
        <v>23</v>
      </c>
      <c r="Q604" t="s">
        <v>23</v>
      </c>
    </row>
    <row r="605" spans="1:17" ht="15">
      <c r="A605" t="s">
        <v>17</v>
      </c>
      <c r="B605" s="1">
        <v>41807</v>
      </c>
      <c r="C605" t="s">
        <v>1034</v>
      </c>
      <c r="D605" t="str">
        <f>CONCATENATE("0130007128","")</f>
        <v>0130007128</v>
      </c>
      <c r="E605" t="str">
        <f>CONCATENATE("0121145000130       ","")</f>
        <v>0121145000130       </v>
      </c>
      <c r="F605" t="str">
        <f>CONCATENATE("605391422","")</f>
        <v>605391422</v>
      </c>
      <c r="G605" t="s">
        <v>1289</v>
      </c>
      <c r="H605" t="s">
        <v>1292</v>
      </c>
      <c r="I605" t="s">
        <v>1293</v>
      </c>
      <c r="J605" t="str">
        <f t="shared" si="87"/>
        <v>081212</v>
      </c>
      <c r="K605" t="s">
        <v>21</v>
      </c>
      <c r="L605" t="s">
        <v>22</v>
      </c>
      <c r="M605" t="str">
        <f t="shared" si="88"/>
        <v>1</v>
      </c>
      <c r="O605" t="str">
        <f t="shared" si="86"/>
        <v>1 </v>
      </c>
      <c r="P605">
        <v>29.6</v>
      </c>
      <c r="Q605" t="s">
        <v>23</v>
      </c>
    </row>
    <row r="606" spans="1:17" ht="15">
      <c r="A606" t="s">
        <v>17</v>
      </c>
      <c r="B606" s="1">
        <v>41807</v>
      </c>
      <c r="C606" t="s">
        <v>1034</v>
      </c>
      <c r="D606" t="str">
        <f>CONCATENATE("0130007135","")</f>
        <v>0130007135</v>
      </c>
      <c r="E606" t="str">
        <f>CONCATENATE("0121145000210       ","")</f>
        <v>0121145000210       </v>
      </c>
      <c r="F606" t="str">
        <f>CONCATENATE("605119749","")</f>
        <v>605119749</v>
      </c>
      <c r="G606" t="s">
        <v>1289</v>
      </c>
      <c r="H606" t="s">
        <v>1294</v>
      </c>
      <c r="I606" t="s">
        <v>1293</v>
      </c>
      <c r="J606" t="str">
        <f t="shared" si="87"/>
        <v>081212</v>
      </c>
      <c r="K606" t="s">
        <v>21</v>
      </c>
      <c r="L606" t="s">
        <v>22</v>
      </c>
      <c r="M606" t="str">
        <f t="shared" si="88"/>
        <v>1</v>
      </c>
      <c r="O606" t="str">
        <f t="shared" si="86"/>
        <v>1 </v>
      </c>
      <c r="P606">
        <v>22.95</v>
      </c>
      <c r="Q606" t="s">
        <v>23</v>
      </c>
    </row>
    <row r="607" spans="1:17" ht="15">
      <c r="A607" t="s">
        <v>17</v>
      </c>
      <c r="B607" s="1">
        <v>41807</v>
      </c>
      <c r="C607" t="s">
        <v>1034</v>
      </c>
      <c r="D607" t="str">
        <f>CONCATENATE("0130007736","")</f>
        <v>0130007736</v>
      </c>
      <c r="E607" t="str">
        <f>CONCATENATE("0121145000220       ","")</f>
        <v>0121145000220       </v>
      </c>
      <c r="F607" t="str">
        <f>CONCATENATE("605350479","")</f>
        <v>605350479</v>
      </c>
      <c r="G607" t="s">
        <v>1289</v>
      </c>
      <c r="H607" t="s">
        <v>1295</v>
      </c>
      <c r="I607" t="s">
        <v>1296</v>
      </c>
      <c r="J607" t="str">
        <f t="shared" si="87"/>
        <v>081212</v>
      </c>
      <c r="K607" t="s">
        <v>21</v>
      </c>
      <c r="L607" t="s">
        <v>22</v>
      </c>
      <c r="M607" t="str">
        <f t="shared" si="88"/>
        <v>1</v>
      </c>
      <c r="O607" t="str">
        <f t="shared" si="86"/>
        <v>1 </v>
      </c>
      <c r="P607">
        <v>134.1</v>
      </c>
      <c r="Q607" t="s">
        <v>23</v>
      </c>
    </row>
    <row r="608" spans="1:17" ht="15">
      <c r="A608" t="s">
        <v>17</v>
      </c>
      <c r="B608" s="1">
        <v>41807</v>
      </c>
      <c r="C608" t="s">
        <v>1034</v>
      </c>
      <c r="D608" t="str">
        <f>CONCATENATE("0130015082","")</f>
        <v>0130015082</v>
      </c>
      <c r="E608" t="str">
        <f>CONCATENATE("0121145000250       ","")</f>
        <v>0121145000250       </v>
      </c>
      <c r="F608" t="str">
        <f>CONCATENATE("1427582","")</f>
        <v>1427582</v>
      </c>
      <c r="G608" t="s">
        <v>1289</v>
      </c>
      <c r="H608" t="s">
        <v>1297</v>
      </c>
      <c r="I608" t="s">
        <v>1298</v>
      </c>
      <c r="J608" t="str">
        <f t="shared" si="87"/>
        <v>081212</v>
      </c>
      <c r="K608" t="s">
        <v>21</v>
      </c>
      <c r="L608" t="s">
        <v>22</v>
      </c>
      <c r="M608" t="str">
        <f t="shared" si="88"/>
        <v>1</v>
      </c>
      <c r="O608" t="str">
        <f>CONCATENATE("4 ","")</f>
        <v>4 </v>
      </c>
      <c r="P608">
        <v>37.4</v>
      </c>
      <c r="Q608" t="s">
        <v>23</v>
      </c>
    </row>
    <row r="609" spans="1:17" ht="15">
      <c r="A609" t="s">
        <v>17</v>
      </c>
      <c r="B609" s="1">
        <v>41807</v>
      </c>
      <c r="C609" t="s">
        <v>1034</v>
      </c>
      <c r="D609" t="str">
        <f>CONCATENATE("0130007141","")</f>
        <v>0130007141</v>
      </c>
      <c r="E609" t="str">
        <f>CONCATENATE("0121145000320       ","")</f>
        <v>0121145000320       </v>
      </c>
      <c r="F609" t="str">
        <f>CONCATENATE("605119754","")</f>
        <v>605119754</v>
      </c>
      <c r="G609" t="s">
        <v>1289</v>
      </c>
      <c r="H609" t="s">
        <v>1299</v>
      </c>
      <c r="I609" t="s">
        <v>1293</v>
      </c>
      <c r="J609" t="str">
        <f t="shared" si="87"/>
        <v>081212</v>
      </c>
      <c r="K609" t="s">
        <v>21</v>
      </c>
      <c r="L609" t="s">
        <v>22</v>
      </c>
      <c r="M609" t="str">
        <f t="shared" si="88"/>
        <v>1</v>
      </c>
      <c r="O609" t="str">
        <f aca="true" t="shared" si="89" ref="O609:O615">CONCATENATE("1 ","")</f>
        <v>1 </v>
      </c>
      <c r="P609">
        <v>53.75</v>
      </c>
      <c r="Q609" t="s">
        <v>23</v>
      </c>
    </row>
    <row r="610" spans="1:17" ht="15">
      <c r="A610" t="s">
        <v>17</v>
      </c>
      <c r="B610" s="1">
        <v>41807</v>
      </c>
      <c r="C610" t="s">
        <v>1034</v>
      </c>
      <c r="D610" t="str">
        <f>CONCATENATE("0130007154","")</f>
        <v>0130007154</v>
      </c>
      <c r="E610" t="str">
        <f>CONCATENATE("0121145000490       ","")</f>
        <v>0121145000490       </v>
      </c>
      <c r="F610" t="str">
        <f>CONCATENATE("605119736","")</f>
        <v>605119736</v>
      </c>
      <c r="G610" t="s">
        <v>1289</v>
      </c>
      <c r="H610" t="s">
        <v>1300</v>
      </c>
      <c r="I610" t="s">
        <v>1293</v>
      </c>
      <c r="J610" t="str">
        <f t="shared" si="87"/>
        <v>081212</v>
      </c>
      <c r="K610" t="s">
        <v>21</v>
      </c>
      <c r="L610" t="s">
        <v>22</v>
      </c>
      <c r="M610" t="str">
        <f t="shared" si="88"/>
        <v>1</v>
      </c>
      <c r="O610" t="str">
        <f t="shared" si="89"/>
        <v>1 </v>
      </c>
      <c r="P610">
        <v>24.55</v>
      </c>
      <c r="Q610" t="s">
        <v>23</v>
      </c>
    </row>
    <row r="611" spans="1:17" ht="15">
      <c r="A611" t="s">
        <v>17</v>
      </c>
      <c r="B611" s="1">
        <v>41807</v>
      </c>
      <c r="C611" t="s">
        <v>1034</v>
      </c>
      <c r="D611" t="str">
        <f>CONCATENATE("0040026714","")</f>
        <v>0040026714</v>
      </c>
      <c r="E611" t="str">
        <f>CONCATENATE("0121145000529       ","")</f>
        <v>0121145000529       </v>
      </c>
      <c r="F611" t="str">
        <f>CONCATENATE("1863554","")</f>
        <v>1863554</v>
      </c>
      <c r="G611" t="s">
        <v>1289</v>
      </c>
      <c r="H611" t="s">
        <v>1301</v>
      </c>
      <c r="I611" t="s">
        <v>1302</v>
      </c>
      <c r="J611" t="str">
        <f t="shared" si="87"/>
        <v>081212</v>
      </c>
      <c r="K611" t="s">
        <v>21</v>
      </c>
      <c r="L611" t="s">
        <v>22</v>
      </c>
      <c r="M611" t="str">
        <f t="shared" si="88"/>
        <v>1</v>
      </c>
      <c r="O611" t="str">
        <f t="shared" si="89"/>
        <v>1 </v>
      </c>
      <c r="P611">
        <v>24.15</v>
      </c>
      <c r="Q611" t="s">
        <v>23</v>
      </c>
    </row>
    <row r="612" spans="1:17" ht="15">
      <c r="A612" t="s">
        <v>17</v>
      </c>
      <c r="B612" s="1">
        <v>41807</v>
      </c>
      <c r="C612" t="s">
        <v>1034</v>
      </c>
      <c r="D612" t="str">
        <f>CONCATENATE("0130007163","")</f>
        <v>0130007163</v>
      </c>
      <c r="E612" t="str">
        <f>CONCATENATE("0121145000610       ","")</f>
        <v>0121145000610       </v>
      </c>
      <c r="F612" t="str">
        <f>CONCATENATE("605350464","")</f>
        <v>605350464</v>
      </c>
      <c r="G612" t="s">
        <v>1289</v>
      </c>
      <c r="H612" t="s">
        <v>1303</v>
      </c>
      <c r="I612" t="s">
        <v>1293</v>
      </c>
      <c r="J612" t="str">
        <f t="shared" si="87"/>
        <v>081212</v>
      </c>
      <c r="K612" t="s">
        <v>21</v>
      </c>
      <c r="L612" t="s">
        <v>22</v>
      </c>
      <c r="M612" t="str">
        <f t="shared" si="88"/>
        <v>1</v>
      </c>
      <c r="O612" t="str">
        <f t="shared" si="89"/>
        <v>1 </v>
      </c>
      <c r="P612">
        <v>41.5</v>
      </c>
      <c r="Q612" t="s">
        <v>23</v>
      </c>
    </row>
    <row r="613" spans="1:17" ht="15">
      <c r="A613" t="s">
        <v>17</v>
      </c>
      <c r="B613" s="1">
        <v>41807</v>
      </c>
      <c r="C613" t="s">
        <v>1034</v>
      </c>
      <c r="D613" t="str">
        <f>CONCATENATE("0130007407","")</f>
        <v>0130007407</v>
      </c>
      <c r="E613" t="str">
        <f>CONCATENATE("0121145000760       ","")</f>
        <v>0121145000760       </v>
      </c>
      <c r="F613" t="str">
        <f>CONCATENATE("605391412","")</f>
        <v>605391412</v>
      </c>
      <c r="G613" t="s">
        <v>1289</v>
      </c>
      <c r="H613" t="s">
        <v>1304</v>
      </c>
      <c r="I613" t="s">
        <v>1305</v>
      </c>
      <c r="J613" t="str">
        <f t="shared" si="87"/>
        <v>081212</v>
      </c>
      <c r="K613" t="s">
        <v>21</v>
      </c>
      <c r="L613" t="s">
        <v>22</v>
      </c>
      <c r="M613" t="str">
        <f t="shared" si="88"/>
        <v>1</v>
      </c>
      <c r="O613" t="str">
        <f t="shared" si="89"/>
        <v>1 </v>
      </c>
      <c r="P613">
        <v>18.4</v>
      </c>
      <c r="Q613" t="s">
        <v>23</v>
      </c>
    </row>
    <row r="614" spans="1:17" ht="15">
      <c r="A614" t="s">
        <v>17</v>
      </c>
      <c r="B614" s="1">
        <v>41807</v>
      </c>
      <c r="C614" t="s">
        <v>1034</v>
      </c>
      <c r="D614" t="str">
        <f>CONCATENATE("0130007179","")</f>
        <v>0130007179</v>
      </c>
      <c r="E614" t="str">
        <f>CONCATENATE("0121145000820       ","")</f>
        <v>0121145000820       </v>
      </c>
      <c r="F614" t="str">
        <f>CONCATENATE("605119742","")</f>
        <v>605119742</v>
      </c>
      <c r="G614" t="s">
        <v>1289</v>
      </c>
      <c r="H614" t="s">
        <v>1306</v>
      </c>
      <c r="I614" t="s">
        <v>1293</v>
      </c>
      <c r="J614" t="str">
        <f t="shared" si="87"/>
        <v>081212</v>
      </c>
      <c r="K614" t="s">
        <v>21</v>
      </c>
      <c r="L614" t="s">
        <v>22</v>
      </c>
      <c r="M614" t="str">
        <f t="shared" si="88"/>
        <v>1</v>
      </c>
      <c r="O614" t="str">
        <f t="shared" si="89"/>
        <v>1 </v>
      </c>
      <c r="P614">
        <v>52.8</v>
      </c>
      <c r="Q614" t="s">
        <v>23</v>
      </c>
    </row>
    <row r="615" spans="1:17" ht="15">
      <c r="A615" t="s">
        <v>17</v>
      </c>
      <c r="B615" s="1">
        <v>41807</v>
      </c>
      <c r="C615" t="s">
        <v>1034</v>
      </c>
      <c r="D615" t="str">
        <f>CONCATENATE("0130007184","")</f>
        <v>0130007184</v>
      </c>
      <c r="E615" t="str">
        <f>CONCATENATE("0121145000870       ","")</f>
        <v>0121145000870       </v>
      </c>
      <c r="F615" t="str">
        <f>CONCATENATE("605119737","")</f>
        <v>605119737</v>
      </c>
      <c r="G615" t="s">
        <v>1289</v>
      </c>
      <c r="H615" t="s">
        <v>1307</v>
      </c>
      <c r="I615" t="s">
        <v>1293</v>
      </c>
      <c r="J615" t="str">
        <f t="shared" si="87"/>
        <v>081212</v>
      </c>
      <c r="K615" t="s">
        <v>21</v>
      </c>
      <c r="L615" t="s">
        <v>22</v>
      </c>
      <c r="M615" t="str">
        <f t="shared" si="88"/>
        <v>1</v>
      </c>
      <c r="O615" t="str">
        <f t="shared" si="89"/>
        <v>1 </v>
      </c>
      <c r="P615">
        <v>28.75</v>
      </c>
      <c r="Q615" t="s">
        <v>23</v>
      </c>
    </row>
    <row r="616" spans="1:17" ht="15">
      <c r="A616" t="s">
        <v>17</v>
      </c>
      <c r="B616" s="1">
        <v>41807</v>
      </c>
      <c r="C616" t="s">
        <v>1034</v>
      </c>
      <c r="D616" t="str">
        <f>CONCATENATE("0130007196","")</f>
        <v>0130007196</v>
      </c>
      <c r="E616" t="str">
        <f>CONCATENATE("0121145001070       ","")</f>
        <v>0121145001070       </v>
      </c>
      <c r="F616" t="str">
        <f>CONCATENATE("605391413","")</f>
        <v>605391413</v>
      </c>
      <c r="G616" t="s">
        <v>1289</v>
      </c>
      <c r="H616" t="s">
        <v>1308</v>
      </c>
      <c r="I616" t="s">
        <v>1293</v>
      </c>
      <c r="J616" t="str">
        <f t="shared" si="87"/>
        <v>081212</v>
      </c>
      <c r="K616" t="s">
        <v>21</v>
      </c>
      <c r="L616" t="s">
        <v>22</v>
      </c>
      <c r="M616" t="str">
        <f t="shared" si="88"/>
        <v>1</v>
      </c>
      <c r="O616" t="str">
        <f>CONCATENATE("2 ","")</f>
        <v>2 </v>
      </c>
      <c r="P616">
        <v>17.1</v>
      </c>
      <c r="Q616" t="s">
        <v>23</v>
      </c>
    </row>
    <row r="617" spans="1:17" ht="15">
      <c r="A617" t="s">
        <v>17</v>
      </c>
      <c r="B617" s="1">
        <v>41807</v>
      </c>
      <c r="C617" t="s">
        <v>1034</v>
      </c>
      <c r="D617" t="str">
        <f>CONCATENATE("0130007202","")</f>
        <v>0130007202</v>
      </c>
      <c r="E617" t="str">
        <f>CONCATENATE("0121145001130       ","")</f>
        <v>0121145001130       </v>
      </c>
      <c r="F617" t="str">
        <f>CONCATENATE("605353270","")</f>
        <v>605353270</v>
      </c>
      <c r="G617" t="s">
        <v>1289</v>
      </c>
      <c r="H617" t="s">
        <v>1309</v>
      </c>
      <c r="I617" t="s">
        <v>1310</v>
      </c>
      <c r="J617" t="str">
        <f t="shared" si="87"/>
        <v>081212</v>
      </c>
      <c r="K617" t="s">
        <v>21</v>
      </c>
      <c r="L617" t="s">
        <v>22</v>
      </c>
      <c r="M617" t="str">
        <f t="shared" si="88"/>
        <v>1</v>
      </c>
      <c r="O617" t="str">
        <f aca="true" t="shared" si="90" ref="O617:O634">CONCATENATE("1 ","")</f>
        <v>1 </v>
      </c>
      <c r="P617">
        <v>23.35</v>
      </c>
      <c r="Q617" t="s">
        <v>23</v>
      </c>
    </row>
    <row r="618" spans="1:17" ht="15">
      <c r="A618" t="s">
        <v>17</v>
      </c>
      <c r="B618" s="1">
        <v>41807</v>
      </c>
      <c r="C618" t="s">
        <v>1034</v>
      </c>
      <c r="D618" t="str">
        <f>CONCATENATE("0130009726","")</f>
        <v>0130009726</v>
      </c>
      <c r="E618" t="str">
        <f>CONCATENATE("0121145001379       ","")</f>
        <v>0121145001379       </v>
      </c>
      <c r="F618" t="str">
        <f>CONCATENATE("605743846","")</f>
        <v>605743846</v>
      </c>
      <c r="G618" t="s">
        <v>1289</v>
      </c>
      <c r="H618" t="s">
        <v>1311</v>
      </c>
      <c r="I618" t="s">
        <v>1312</v>
      </c>
      <c r="J618" t="str">
        <f t="shared" si="87"/>
        <v>081212</v>
      </c>
      <c r="K618" t="s">
        <v>21</v>
      </c>
      <c r="L618" t="s">
        <v>22</v>
      </c>
      <c r="M618" t="str">
        <f t="shared" si="88"/>
        <v>1</v>
      </c>
      <c r="O618" t="str">
        <f t="shared" si="90"/>
        <v>1 </v>
      </c>
      <c r="P618">
        <v>13.7</v>
      </c>
      <c r="Q618" t="s">
        <v>23</v>
      </c>
    </row>
    <row r="619" spans="1:17" ht="15">
      <c r="A619" t="s">
        <v>17</v>
      </c>
      <c r="B619" s="1">
        <v>41807</v>
      </c>
      <c r="C619" t="s">
        <v>1034</v>
      </c>
      <c r="D619" t="str">
        <f>CONCATENATE("0130007215","")</f>
        <v>0130007215</v>
      </c>
      <c r="E619" t="str">
        <f>CONCATENATE("0121145001380       ","")</f>
        <v>0121145001380       </v>
      </c>
      <c r="F619" t="str">
        <f>CONCATENATE("605353265","")</f>
        <v>605353265</v>
      </c>
      <c r="G619" t="s">
        <v>1289</v>
      </c>
      <c r="H619" t="s">
        <v>1313</v>
      </c>
      <c r="I619" t="s">
        <v>1293</v>
      </c>
      <c r="J619" t="str">
        <f t="shared" si="87"/>
        <v>081212</v>
      </c>
      <c r="K619" t="s">
        <v>21</v>
      </c>
      <c r="L619" t="s">
        <v>22</v>
      </c>
      <c r="M619" t="str">
        <f t="shared" si="88"/>
        <v>1</v>
      </c>
      <c r="O619" t="str">
        <f t="shared" si="90"/>
        <v>1 </v>
      </c>
      <c r="P619">
        <v>26.8</v>
      </c>
      <c r="Q619" t="s">
        <v>23</v>
      </c>
    </row>
    <row r="620" spans="1:17" ht="15">
      <c r="A620" t="s">
        <v>17</v>
      </c>
      <c r="B620" s="1">
        <v>41807</v>
      </c>
      <c r="C620" t="s">
        <v>1034</v>
      </c>
      <c r="D620" t="str">
        <f>CONCATENATE("0040030974","")</f>
        <v>0040030974</v>
      </c>
      <c r="E620" t="str">
        <f>CONCATENATE("0121145001543       ","")</f>
        <v>0121145001543       </v>
      </c>
      <c r="F620" t="str">
        <f>CONCATENATE("2150221","")</f>
        <v>2150221</v>
      </c>
      <c r="G620" t="s">
        <v>1289</v>
      </c>
      <c r="H620" t="s">
        <v>1314</v>
      </c>
      <c r="I620" t="s">
        <v>1315</v>
      </c>
      <c r="J620" t="str">
        <f t="shared" si="87"/>
        <v>081212</v>
      </c>
      <c r="K620" t="s">
        <v>21</v>
      </c>
      <c r="L620" t="s">
        <v>22</v>
      </c>
      <c r="M620" t="str">
        <f t="shared" si="88"/>
        <v>1</v>
      </c>
      <c r="O620" t="str">
        <f t="shared" si="90"/>
        <v>1 </v>
      </c>
      <c r="P620">
        <v>49.1</v>
      </c>
      <c r="Q620" t="s">
        <v>23</v>
      </c>
    </row>
    <row r="621" spans="1:17" ht="15">
      <c r="A621" t="s">
        <v>17</v>
      </c>
      <c r="B621" s="1">
        <v>41807</v>
      </c>
      <c r="C621" t="s">
        <v>1034</v>
      </c>
      <c r="D621" t="str">
        <f>CONCATENATE("0130011699","")</f>
        <v>0130011699</v>
      </c>
      <c r="E621" t="str">
        <f>CONCATENATE("0121145001550       ","")</f>
        <v>0121145001550       </v>
      </c>
      <c r="F621" t="str">
        <f>CONCATENATE("00409551192","")</f>
        <v>00409551192</v>
      </c>
      <c r="G621" t="s">
        <v>1289</v>
      </c>
      <c r="H621" t="s">
        <v>1316</v>
      </c>
      <c r="I621" t="s">
        <v>1317</v>
      </c>
      <c r="J621" t="str">
        <f t="shared" si="87"/>
        <v>081212</v>
      </c>
      <c r="K621" t="s">
        <v>21</v>
      </c>
      <c r="L621" t="s">
        <v>22</v>
      </c>
      <c r="M621" t="str">
        <f t="shared" si="88"/>
        <v>1</v>
      </c>
      <c r="O621" t="str">
        <f t="shared" si="90"/>
        <v>1 </v>
      </c>
      <c r="P621">
        <v>12.3</v>
      </c>
      <c r="Q621" t="s">
        <v>23</v>
      </c>
    </row>
    <row r="622" spans="1:17" ht="15">
      <c r="A622" t="s">
        <v>17</v>
      </c>
      <c r="B622" s="1">
        <v>41807</v>
      </c>
      <c r="C622" t="s">
        <v>1034</v>
      </c>
      <c r="D622" t="str">
        <f>CONCATENATE("0130020297","")</f>
        <v>0130020297</v>
      </c>
      <c r="E622" t="str">
        <f>CONCATENATE("0121145001650       ","")</f>
        <v>0121145001650       </v>
      </c>
      <c r="F622" t="str">
        <f>CONCATENATE("605938541","")</f>
        <v>605938541</v>
      </c>
      <c r="G622" t="s">
        <v>1289</v>
      </c>
      <c r="H622" t="s">
        <v>1318</v>
      </c>
      <c r="I622" t="s">
        <v>1319</v>
      </c>
      <c r="J622" t="str">
        <f t="shared" si="87"/>
        <v>081212</v>
      </c>
      <c r="K622" t="s">
        <v>21</v>
      </c>
      <c r="L622" t="s">
        <v>22</v>
      </c>
      <c r="M622" t="str">
        <f t="shared" si="88"/>
        <v>1</v>
      </c>
      <c r="O622" t="str">
        <f t="shared" si="90"/>
        <v>1 </v>
      </c>
      <c r="P622">
        <v>43.35</v>
      </c>
      <c r="Q622" t="s">
        <v>23</v>
      </c>
    </row>
    <row r="623" spans="1:17" ht="15">
      <c r="A623" t="s">
        <v>17</v>
      </c>
      <c r="B623" s="1">
        <v>41807</v>
      </c>
      <c r="C623" t="s">
        <v>1034</v>
      </c>
      <c r="D623" t="str">
        <f>CONCATENATE("0130009170","")</f>
        <v>0130009170</v>
      </c>
      <c r="E623" t="str">
        <f>CONCATENATE("0121145001705       ","")</f>
        <v>0121145001705       </v>
      </c>
      <c r="F623" t="str">
        <f>CONCATENATE("605744804","")</f>
        <v>605744804</v>
      </c>
      <c r="G623" t="s">
        <v>1289</v>
      </c>
      <c r="H623" t="s">
        <v>1320</v>
      </c>
      <c r="I623" t="s">
        <v>1321</v>
      </c>
      <c r="J623" t="str">
        <f t="shared" si="87"/>
        <v>081212</v>
      </c>
      <c r="K623" t="s">
        <v>21</v>
      </c>
      <c r="L623" t="s">
        <v>22</v>
      </c>
      <c r="M623" t="str">
        <f t="shared" si="88"/>
        <v>1</v>
      </c>
      <c r="O623" t="str">
        <f t="shared" si="90"/>
        <v>1 </v>
      </c>
      <c r="P623">
        <v>19.8</v>
      </c>
      <c r="Q623" t="s">
        <v>23</v>
      </c>
    </row>
    <row r="624" spans="1:17" ht="15">
      <c r="A624" t="s">
        <v>17</v>
      </c>
      <c r="B624" s="1">
        <v>41807</v>
      </c>
      <c r="C624" t="s">
        <v>1034</v>
      </c>
      <c r="D624" t="str">
        <f>CONCATENATE("0130015818","")</f>
        <v>0130015818</v>
      </c>
      <c r="E624" t="str">
        <f>CONCATENATE("0121145001755       ","")</f>
        <v>0121145001755       </v>
      </c>
      <c r="F624" t="str">
        <f>CONCATENATE("605281256","")</f>
        <v>605281256</v>
      </c>
      <c r="G624" t="s">
        <v>1289</v>
      </c>
      <c r="H624" t="s">
        <v>1322</v>
      </c>
      <c r="I624" t="s">
        <v>1323</v>
      </c>
      <c r="J624" t="str">
        <f t="shared" si="87"/>
        <v>081212</v>
      </c>
      <c r="K624" t="s">
        <v>21</v>
      </c>
      <c r="L624" t="s">
        <v>22</v>
      </c>
      <c r="M624" t="str">
        <f t="shared" si="88"/>
        <v>1</v>
      </c>
      <c r="O624" t="str">
        <f t="shared" si="90"/>
        <v>1 </v>
      </c>
      <c r="P624">
        <v>67.1</v>
      </c>
      <c r="Q624" t="s">
        <v>23</v>
      </c>
    </row>
    <row r="625" spans="1:17" ht="15">
      <c r="A625" t="s">
        <v>17</v>
      </c>
      <c r="B625" s="1">
        <v>41807</v>
      </c>
      <c r="C625" t="s">
        <v>1324</v>
      </c>
      <c r="D625" t="str">
        <f>CONCATENATE("0130016955","")</f>
        <v>0130016955</v>
      </c>
      <c r="E625" t="str">
        <f>CONCATENATE("0121155002160       ","")</f>
        <v>0121155002160       </v>
      </c>
      <c r="F625" t="str">
        <f>CONCATENATE("605624386","")</f>
        <v>605624386</v>
      </c>
      <c r="G625" t="s">
        <v>1325</v>
      </c>
      <c r="H625" t="s">
        <v>1326</v>
      </c>
      <c r="I625" t="s">
        <v>1327</v>
      </c>
      <c r="J625" t="str">
        <f>CONCATENATE("081201","")</f>
        <v>081201</v>
      </c>
      <c r="K625" t="s">
        <v>21</v>
      </c>
      <c r="L625" t="s">
        <v>22</v>
      </c>
      <c r="M625" t="str">
        <f t="shared" si="88"/>
        <v>1</v>
      </c>
      <c r="O625" t="str">
        <f t="shared" si="90"/>
        <v>1 </v>
      </c>
      <c r="P625">
        <v>20.65</v>
      </c>
      <c r="Q625" t="s">
        <v>23</v>
      </c>
    </row>
    <row r="626" spans="1:17" ht="15">
      <c r="A626" t="s">
        <v>17</v>
      </c>
      <c r="B626" s="1">
        <v>41807</v>
      </c>
      <c r="C626" t="s">
        <v>1034</v>
      </c>
      <c r="D626" t="str">
        <f>CONCATENATE("0040032755","")</f>
        <v>0040032755</v>
      </c>
      <c r="E626" t="str">
        <f>CONCATENATE("0121160001020       ","")</f>
        <v>0121160001020       </v>
      </c>
      <c r="F626" t="str">
        <f>CONCATENATE("606143965","")</f>
        <v>606143965</v>
      </c>
      <c r="G626" t="s">
        <v>1205</v>
      </c>
      <c r="H626" t="s">
        <v>1328</v>
      </c>
      <c r="I626" t="s">
        <v>1329</v>
      </c>
      <c r="J626" t="str">
        <f>CONCATENATE("081212","")</f>
        <v>081212</v>
      </c>
      <c r="K626" t="s">
        <v>21</v>
      </c>
      <c r="L626" t="s">
        <v>22</v>
      </c>
      <c r="M626" t="str">
        <f t="shared" si="88"/>
        <v>1</v>
      </c>
      <c r="O626" t="str">
        <f t="shared" si="90"/>
        <v>1 </v>
      </c>
      <c r="P626">
        <v>11.4</v>
      </c>
      <c r="Q626" t="s">
        <v>23</v>
      </c>
    </row>
    <row r="627" spans="1:17" ht="15">
      <c r="A627" t="s">
        <v>17</v>
      </c>
      <c r="B627" s="1">
        <v>41807</v>
      </c>
      <c r="C627" t="s">
        <v>1034</v>
      </c>
      <c r="D627" t="str">
        <f>CONCATENATE("0040032784","")</f>
        <v>0040032784</v>
      </c>
      <c r="E627" t="str">
        <f>CONCATENATE("0121160001120       ","")</f>
        <v>0121160001120       </v>
      </c>
      <c r="F627" t="str">
        <f>CONCATENATE("606143775","")</f>
        <v>606143775</v>
      </c>
      <c r="G627" t="s">
        <v>1330</v>
      </c>
      <c r="H627" t="s">
        <v>1331</v>
      </c>
      <c r="I627" t="s">
        <v>1329</v>
      </c>
      <c r="J627" t="str">
        <f>CONCATENATE("081212","")</f>
        <v>081212</v>
      </c>
      <c r="K627" t="s">
        <v>21</v>
      </c>
      <c r="L627" t="s">
        <v>22</v>
      </c>
      <c r="M627" t="str">
        <f t="shared" si="88"/>
        <v>1</v>
      </c>
      <c r="O627" t="str">
        <f t="shared" si="90"/>
        <v>1 </v>
      </c>
      <c r="P627">
        <v>108.95</v>
      </c>
      <c r="Q627" t="s">
        <v>23</v>
      </c>
    </row>
    <row r="628" spans="1:17" ht="15">
      <c r="A628" t="s">
        <v>17</v>
      </c>
      <c r="B628" s="1">
        <v>41807</v>
      </c>
      <c r="C628" t="s">
        <v>463</v>
      </c>
      <c r="D628" t="str">
        <f>CONCATENATE("0040025884","")</f>
        <v>0040025884</v>
      </c>
      <c r="E628" t="str">
        <f>CONCATENATE("0500201000030       ","")</f>
        <v>0500201000030       </v>
      </c>
      <c r="F628" t="str">
        <f>CONCATENATE("983072100929","")</f>
        <v>983072100929</v>
      </c>
      <c r="G628" t="s">
        <v>1332</v>
      </c>
      <c r="H628" t="s">
        <v>1333</v>
      </c>
      <c r="I628" t="s">
        <v>1334</v>
      </c>
      <c r="J628" t="str">
        <f aca="true" t="shared" si="91" ref="J628:J672">CONCATENATE("080507","")</f>
        <v>080507</v>
      </c>
      <c r="K628" t="s">
        <v>21</v>
      </c>
      <c r="L628" t="s">
        <v>22</v>
      </c>
      <c r="M628" t="str">
        <f t="shared" si="88"/>
        <v>1</v>
      </c>
      <c r="O628" t="str">
        <f t="shared" si="90"/>
        <v>1 </v>
      </c>
      <c r="P628">
        <v>20.9</v>
      </c>
      <c r="Q628" t="s">
        <v>23</v>
      </c>
    </row>
    <row r="629" spans="1:17" ht="15">
      <c r="A629" t="s">
        <v>17</v>
      </c>
      <c r="B629" s="1">
        <v>41807</v>
      </c>
      <c r="C629" t="s">
        <v>463</v>
      </c>
      <c r="D629" t="str">
        <f>CONCATENATE("0040025883","")</f>
        <v>0040025883</v>
      </c>
      <c r="E629" t="str">
        <f>CONCATENATE("0500201000040       ","")</f>
        <v>0500201000040       </v>
      </c>
      <c r="F629" t="str">
        <f>CONCATENATE("983072100997","")</f>
        <v>983072100997</v>
      </c>
      <c r="G629" t="s">
        <v>1332</v>
      </c>
      <c r="H629" t="s">
        <v>1335</v>
      </c>
      <c r="I629" t="s">
        <v>1334</v>
      </c>
      <c r="J629" t="str">
        <f t="shared" si="91"/>
        <v>080507</v>
      </c>
      <c r="K629" t="s">
        <v>21</v>
      </c>
      <c r="L629" t="s">
        <v>22</v>
      </c>
      <c r="M629" t="str">
        <f t="shared" si="88"/>
        <v>1</v>
      </c>
      <c r="O629" t="str">
        <f t="shared" si="90"/>
        <v>1 </v>
      </c>
      <c r="P629">
        <v>15.85</v>
      </c>
      <c r="Q629" t="s">
        <v>23</v>
      </c>
    </row>
    <row r="630" spans="1:17" ht="15">
      <c r="A630" t="s">
        <v>17</v>
      </c>
      <c r="B630" s="1">
        <v>41807</v>
      </c>
      <c r="C630" t="s">
        <v>463</v>
      </c>
      <c r="D630" t="str">
        <f>CONCATENATE("0040025887","")</f>
        <v>0040025887</v>
      </c>
      <c r="E630" t="str">
        <f>CONCATENATE("0500201000070       ","")</f>
        <v>0500201000070       </v>
      </c>
      <c r="F630" t="str">
        <f>CONCATENATE("983072100931","")</f>
        <v>983072100931</v>
      </c>
      <c r="G630" t="s">
        <v>1332</v>
      </c>
      <c r="H630" t="s">
        <v>1336</v>
      </c>
      <c r="I630" t="s">
        <v>1334</v>
      </c>
      <c r="J630" t="str">
        <f t="shared" si="91"/>
        <v>080507</v>
      </c>
      <c r="K630" t="s">
        <v>21</v>
      </c>
      <c r="L630" t="s">
        <v>22</v>
      </c>
      <c r="M630" t="str">
        <f t="shared" si="88"/>
        <v>1</v>
      </c>
      <c r="O630" t="str">
        <f t="shared" si="90"/>
        <v>1 </v>
      </c>
      <c r="P630">
        <v>12.85</v>
      </c>
      <c r="Q630" t="s">
        <v>23</v>
      </c>
    </row>
    <row r="631" spans="1:17" ht="15">
      <c r="A631" t="s">
        <v>17</v>
      </c>
      <c r="B631" s="1">
        <v>41807</v>
      </c>
      <c r="C631" t="s">
        <v>463</v>
      </c>
      <c r="D631" t="str">
        <f>CONCATENATE("0040025877","")</f>
        <v>0040025877</v>
      </c>
      <c r="E631" t="str">
        <f>CONCATENATE("0500201000080       ","")</f>
        <v>0500201000080       </v>
      </c>
      <c r="F631" t="str">
        <f>CONCATENATE("983072100997","")</f>
        <v>983072100997</v>
      </c>
      <c r="G631" t="s">
        <v>1332</v>
      </c>
      <c r="H631" t="s">
        <v>1336</v>
      </c>
      <c r="I631" t="s">
        <v>1334</v>
      </c>
      <c r="J631" t="str">
        <f t="shared" si="91"/>
        <v>080507</v>
      </c>
      <c r="K631" t="s">
        <v>21</v>
      </c>
      <c r="L631" t="s">
        <v>22</v>
      </c>
      <c r="M631" t="str">
        <f t="shared" si="88"/>
        <v>1</v>
      </c>
      <c r="O631" t="str">
        <f t="shared" si="90"/>
        <v>1 </v>
      </c>
      <c r="P631">
        <v>13.55</v>
      </c>
      <c r="Q631" t="s">
        <v>23</v>
      </c>
    </row>
    <row r="632" spans="1:17" ht="15">
      <c r="A632" t="s">
        <v>17</v>
      </c>
      <c r="B632" s="1">
        <v>41807</v>
      </c>
      <c r="C632" t="s">
        <v>463</v>
      </c>
      <c r="D632" t="str">
        <f>CONCATENATE("0040025878","")</f>
        <v>0040025878</v>
      </c>
      <c r="E632" t="str">
        <f>CONCATENATE("0500201000090       ","")</f>
        <v>0500201000090       </v>
      </c>
      <c r="F632" t="str">
        <f>CONCATENATE("983072100997","")</f>
        <v>983072100997</v>
      </c>
      <c r="G632" t="s">
        <v>1332</v>
      </c>
      <c r="H632" t="s">
        <v>1337</v>
      </c>
      <c r="I632" t="s">
        <v>1334</v>
      </c>
      <c r="J632" t="str">
        <f t="shared" si="91"/>
        <v>080507</v>
      </c>
      <c r="K632" t="s">
        <v>21</v>
      </c>
      <c r="L632" t="s">
        <v>22</v>
      </c>
      <c r="M632" t="str">
        <f t="shared" si="88"/>
        <v>1</v>
      </c>
      <c r="O632" t="str">
        <f t="shared" si="90"/>
        <v>1 </v>
      </c>
      <c r="P632">
        <v>43.45</v>
      </c>
      <c r="Q632" t="s">
        <v>23</v>
      </c>
    </row>
    <row r="633" spans="1:17" ht="15">
      <c r="A633" t="s">
        <v>17</v>
      </c>
      <c r="B633" s="1">
        <v>41807</v>
      </c>
      <c r="C633" t="s">
        <v>463</v>
      </c>
      <c r="D633" t="str">
        <f>CONCATENATE("0040025879","")</f>
        <v>0040025879</v>
      </c>
      <c r="E633" t="str">
        <f>CONCATENATE("0500201000100       ","")</f>
        <v>0500201000100       </v>
      </c>
      <c r="F633" t="str">
        <f>CONCATENATE("983072100997","")</f>
        <v>983072100997</v>
      </c>
      <c r="G633" t="s">
        <v>1332</v>
      </c>
      <c r="H633" t="s">
        <v>1338</v>
      </c>
      <c r="I633" t="s">
        <v>1334</v>
      </c>
      <c r="J633" t="str">
        <f t="shared" si="91"/>
        <v>080507</v>
      </c>
      <c r="K633" t="s">
        <v>21</v>
      </c>
      <c r="L633" t="s">
        <v>22</v>
      </c>
      <c r="M633" t="str">
        <f t="shared" si="88"/>
        <v>1</v>
      </c>
      <c r="O633" t="str">
        <f t="shared" si="90"/>
        <v>1 </v>
      </c>
      <c r="P633">
        <v>14.6</v>
      </c>
      <c r="Q633" t="s">
        <v>23</v>
      </c>
    </row>
    <row r="634" spans="1:17" ht="15">
      <c r="A634" t="s">
        <v>17</v>
      </c>
      <c r="B634" s="1">
        <v>41807</v>
      </c>
      <c r="C634" t="s">
        <v>463</v>
      </c>
      <c r="D634" t="str">
        <f>CONCATENATE("0040025882","")</f>
        <v>0040025882</v>
      </c>
      <c r="E634" t="str">
        <f>CONCATENATE("0500201000130       ","")</f>
        <v>0500201000130       </v>
      </c>
      <c r="F634" t="str">
        <f>CONCATENATE("983072100931","")</f>
        <v>983072100931</v>
      </c>
      <c r="G634" t="s">
        <v>1332</v>
      </c>
      <c r="H634" t="s">
        <v>1339</v>
      </c>
      <c r="I634" t="s">
        <v>1334</v>
      </c>
      <c r="J634" t="str">
        <f t="shared" si="91"/>
        <v>080507</v>
      </c>
      <c r="K634" t="s">
        <v>21</v>
      </c>
      <c r="L634" t="s">
        <v>22</v>
      </c>
      <c r="M634" t="str">
        <f t="shared" si="88"/>
        <v>1</v>
      </c>
      <c r="O634" t="str">
        <f t="shared" si="90"/>
        <v>1 </v>
      </c>
      <c r="P634">
        <v>13.25</v>
      </c>
      <c r="Q634" t="s">
        <v>23</v>
      </c>
    </row>
    <row r="635" spans="1:17" ht="15">
      <c r="A635" t="s">
        <v>17</v>
      </c>
      <c r="B635" s="1">
        <v>41807</v>
      </c>
      <c r="C635" t="s">
        <v>463</v>
      </c>
      <c r="D635" t="str">
        <f>CONCATENATE("0040025738","")</f>
        <v>0040025738</v>
      </c>
      <c r="E635" t="str">
        <f>CONCATENATE("0500202000010       ","")</f>
        <v>0500202000010       </v>
      </c>
      <c r="F635" t="str">
        <f>CONCATENATE("983072100999","")</f>
        <v>983072100999</v>
      </c>
      <c r="G635" t="s">
        <v>1340</v>
      </c>
      <c r="H635" t="s">
        <v>1341</v>
      </c>
      <c r="I635" t="s">
        <v>1342</v>
      </c>
      <c r="J635" t="str">
        <f t="shared" si="91"/>
        <v>080507</v>
      </c>
      <c r="K635" t="s">
        <v>21</v>
      </c>
      <c r="L635" t="s">
        <v>22</v>
      </c>
      <c r="M635" t="str">
        <f t="shared" si="88"/>
        <v>1</v>
      </c>
      <c r="O635" t="str">
        <f>CONCATENATE("5 ","")</f>
        <v>5 </v>
      </c>
      <c r="P635">
        <v>140.75</v>
      </c>
      <c r="Q635" t="s">
        <v>23</v>
      </c>
    </row>
    <row r="636" spans="1:17" ht="15">
      <c r="A636" t="s">
        <v>17</v>
      </c>
      <c r="B636" s="1">
        <v>41807</v>
      </c>
      <c r="C636" t="s">
        <v>463</v>
      </c>
      <c r="D636" t="str">
        <f>CONCATENATE("0040025725","")</f>
        <v>0040025725</v>
      </c>
      <c r="E636" t="str">
        <f>CONCATENATE("0500202000020       ","")</f>
        <v>0500202000020       </v>
      </c>
      <c r="F636" t="str">
        <f>CONCATENATE("983072101000","")</f>
        <v>983072101000</v>
      </c>
      <c r="G636" t="s">
        <v>1340</v>
      </c>
      <c r="H636" t="s">
        <v>1343</v>
      </c>
      <c r="I636" t="s">
        <v>1342</v>
      </c>
      <c r="J636" t="str">
        <f t="shared" si="91"/>
        <v>080507</v>
      </c>
      <c r="K636" t="s">
        <v>21</v>
      </c>
      <c r="L636" t="s">
        <v>22</v>
      </c>
      <c r="M636" t="str">
        <f aca="true" t="shared" si="92" ref="M636:M667">CONCATENATE("1","")</f>
        <v>1</v>
      </c>
      <c r="O636" t="str">
        <f>CONCATENATE("2 ","")</f>
        <v>2 </v>
      </c>
      <c r="P636">
        <v>82.65</v>
      </c>
      <c r="Q636" t="s">
        <v>23</v>
      </c>
    </row>
    <row r="637" spans="1:17" ht="15">
      <c r="A637" t="s">
        <v>17</v>
      </c>
      <c r="B637" s="1">
        <v>41807</v>
      </c>
      <c r="C637" t="s">
        <v>463</v>
      </c>
      <c r="D637" t="str">
        <f>CONCATENATE("0040025733","")</f>
        <v>0040025733</v>
      </c>
      <c r="E637" t="str">
        <f>CONCATENATE("0500202000110       ","")</f>
        <v>0500202000110       </v>
      </c>
      <c r="F637" t="str">
        <f>CONCATENATE("983072100999","")</f>
        <v>983072100999</v>
      </c>
      <c r="G637" t="s">
        <v>1340</v>
      </c>
      <c r="H637" t="s">
        <v>1344</v>
      </c>
      <c r="I637" t="s">
        <v>1342</v>
      </c>
      <c r="J637" t="str">
        <f t="shared" si="91"/>
        <v>080507</v>
      </c>
      <c r="K637" t="s">
        <v>21</v>
      </c>
      <c r="L637" t="s">
        <v>22</v>
      </c>
      <c r="M637" t="str">
        <f t="shared" si="92"/>
        <v>1</v>
      </c>
      <c r="O637" t="str">
        <f>CONCATENATE("3 ","")</f>
        <v>3 </v>
      </c>
      <c r="P637">
        <v>27.45</v>
      </c>
      <c r="Q637" t="s">
        <v>23</v>
      </c>
    </row>
    <row r="638" spans="1:17" ht="15">
      <c r="A638" t="s">
        <v>17</v>
      </c>
      <c r="B638" s="1">
        <v>41807</v>
      </c>
      <c r="C638" t="s">
        <v>463</v>
      </c>
      <c r="D638" t="str">
        <f>CONCATENATE("0040025736","")</f>
        <v>0040025736</v>
      </c>
      <c r="E638" t="str">
        <f>CONCATENATE("0500202000140       ","")</f>
        <v>0500202000140       </v>
      </c>
      <c r="F638" t="str">
        <f>CONCATENATE("983072100991","")</f>
        <v>983072100991</v>
      </c>
      <c r="G638" t="s">
        <v>1340</v>
      </c>
      <c r="H638" t="s">
        <v>1345</v>
      </c>
      <c r="I638" t="s">
        <v>1342</v>
      </c>
      <c r="J638" t="str">
        <f t="shared" si="91"/>
        <v>080507</v>
      </c>
      <c r="K638" t="s">
        <v>21</v>
      </c>
      <c r="L638" t="s">
        <v>22</v>
      </c>
      <c r="M638" t="str">
        <f t="shared" si="92"/>
        <v>1</v>
      </c>
      <c r="O638" t="str">
        <f>CONCATENATE("1 ","")</f>
        <v>1 </v>
      </c>
      <c r="P638">
        <v>12.9</v>
      </c>
      <c r="Q638" t="s">
        <v>23</v>
      </c>
    </row>
    <row r="639" spans="1:17" ht="15">
      <c r="A639" t="s">
        <v>17</v>
      </c>
      <c r="B639" s="1">
        <v>41807</v>
      </c>
      <c r="C639" t="s">
        <v>463</v>
      </c>
      <c r="D639" t="str">
        <f>CONCATENATE("0040025740","")</f>
        <v>0040025740</v>
      </c>
      <c r="E639" t="str">
        <f>CONCATENATE("0500202000160       ","")</f>
        <v>0500202000160       </v>
      </c>
      <c r="F639" t="str">
        <f>CONCATENATE("983072100991","")</f>
        <v>983072100991</v>
      </c>
      <c r="G639" t="s">
        <v>1340</v>
      </c>
      <c r="H639" t="s">
        <v>1346</v>
      </c>
      <c r="I639" t="s">
        <v>1342</v>
      </c>
      <c r="J639" t="str">
        <f t="shared" si="91"/>
        <v>080507</v>
      </c>
      <c r="K639" t="s">
        <v>21</v>
      </c>
      <c r="L639" t="s">
        <v>22</v>
      </c>
      <c r="M639" t="str">
        <f t="shared" si="92"/>
        <v>1</v>
      </c>
      <c r="O639" t="str">
        <f>CONCATENATE("1 ","")</f>
        <v>1 </v>
      </c>
      <c r="P639">
        <v>12.95</v>
      </c>
      <c r="Q639" t="s">
        <v>23</v>
      </c>
    </row>
    <row r="640" spans="1:17" ht="15">
      <c r="A640" t="s">
        <v>17</v>
      </c>
      <c r="B640" s="1">
        <v>41807</v>
      </c>
      <c r="C640" t="s">
        <v>463</v>
      </c>
      <c r="D640" t="str">
        <f>CONCATENATE("0040025744","")</f>
        <v>0040025744</v>
      </c>
      <c r="E640" t="str">
        <f>CONCATENATE("0500202000200       ","")</f>
        <v>0500202000200       </v>
      </c>
      <c r="F640" t="str">
        <f>CONCATENATE("983072100997","")</f>
        <v>983072100997</v>
      </c>
      <c r="G640" t="s">
        <v>1340</v>
      </c>
      <c r="H640" t="s">
        <v>1347</v>
      </c>
      <c r="I640" t="s">
        <v>1342</v>
      </c>
      <c r="J640" t="str">
        <f t="shared" si="91"/>
        <v>080507</v>
      </c>
      <c r="K640" t="s">
        <v>21</v>
      </c>
      <c r="L640" t="s">
        <v>22</v>
      </c>
      <c r="M640" t="str">
        <f t="shared" si="92"/>
        <v>1</v>
      </c>
      <c r="O640" t="str">
        <f>CONCATENATE("4 ","")</f>
        <v>4 </v>
      </c>
      <c r="P640">
        <v>43.85</v>
      </c>
      <c r="Q640" t="s">
        <v>23</v>
      </c>
    </row>
    <row r="641" spans="1:17" ht="15">
      <c r="A641" t="s">
        <v>17</v>
      </c>
      <c r="B641" s="1">
        <v>41807</v>
      </c>
      <c r="C641" t="s">
        <v>463</v>
      </c>
      <c r="D641" t="str">
        <f>CONCATENATE("0040025746","")</f>
        <v>0040025746</v>
      </c>
      <c r="E641" t="str">
        <f>CONCATENATE("0500202000220       ","")</f>
        <v>0500202000220       </v>
      </c>
      <c r="F641" t="str">
        <f>CONCATENATE("983072100991","")</f>
        <v>983072100991</v>
      </c>
      <c r="G641" t="s">
        <v>1340</v>
      </c>
      <c r="H641" t="s">
        <v>1348</v>
      </c>
      <c r="I641" t="s">
        <v>1342</v>
      </c>
      <c r="J641" t="str">
        <f t="shared" si="91"/>
        <v>080507</v>
      </c>
      <c r="K641" t="s">
        <v>21</v>
      </c>
      <c r="L641" t="s">
        <v>22</v>
      </c>
      <c r="M641" t="str">
        <f t="shared" si="92"/>
        <v>1</v>
      </c>
      <c r="O641" t="str">
        <f>CONCATENATE("3 ","")</f>
        <v>3 </v>
      </c>
      <c r="P641">
        <v>25.4</v>
      </c>
      <c r="Q641" t="s">
        <v>23</v>
      </c>
    </row>
    <row r="642" spans="1:17" ht="15">
      <c r="A642" t="s">
        <v>17</v>
      </c>
      <c r="B642" s="1">
        <v>41807</v>
      </c>
      <c r="C642" t="s">
        <v>463</v>
      </c>
      <c r="D642" t="str">
        <f>CONCATENATE("0040025828","")</f>
        <v>0040025828</v>
      </c>
      <c r="E642" t="str">
        <f>CONCATENATE("0500210000020       ","")</f>
        <v>0500210000020       </v>
      </c>
      <c r="F642" t="str">
        <f>CONCATENATE("983072100930","")</f>
        <v>983072100930</v>
      </c>
      <c r="G642" t="s">
        <v>1349</v>
      </c>
      <c r="H642" t="s">
        <v>1350</v>
      </c>
      <c r="I642" t="s">
        <v>1351</v>
      </c>
      <c r="J642" t="str">
        <f t="shared" si="91"/>
        <v>080507</v>
      </c>
      <c r="K642" t="s">
        <v>21</v>
      </c>
      <c r="L642" t="s">
        <v>22</v>
      </c>
      <c r="M642" t="str">
        <f t="shared" si="92"/>
        <v>1</v>
      </c>
      <c r="O642" t="str">
        <f>CONCATENATE("2 ","")</f>
        <v>2 </v>
      </c>
      <c r="P642">
        <v>19.35</v>
      </c>
      <c r="Q642" t="s">
        <v>23</v>
      </c>
    </row>
    <row r="643" spans="1:17" ht="15">
      <c r="A643" t="s">
        <v>17</v>
      </c>
      <c r="B643" s="1">
        <v>41807</v>
      </c>
      <c r="C643" t="s">
        <v>463</v>
      </c>
      <c r="D643" t="str">
        <f>CONCATENATE("0040025823","")</f>
        <v>0040025823</v>
      </c>
      <c r="E643" t="str">
        <f>CONCATENATE("0500210000060       ","")</f>
        <v>0500210000060       </v>
      </c>
      <c r="F643" t="str">
        <f>CONCATENATE("983072100992","")</f>
        <v>983072100992</v>
      </c>
      <c r="G643" t="s">
        <v>1349</v>
      </c>
      <c r="H643" t="s">
        <v>1352</v>
      </c>
      <c r="I643" t="s">
        <v>1351</v>
      </c>
      <c r="J643" t="str">
        <f t="shared" si="91"/>
        <v>080507</v>
      </c>
      <c r="K643" t="s">
        <v>21</v>
      </c>
      <c r="L643" t="s">
        <v>22</v>
      </c>
      <c r="M643" t="str">
        <f t="shared" si="92"/>
        <v>1</v>
      </c>
      <c r="O643" t="str">
        <f>CONCATENATE("1 ","")</f>
        <v>1 </v>
      </c>
      <c r="P643">
        <v>21.65</v>
      </c>
      <c r="Q643" t="s">
        <v>23</v>
      </c>
    </row>
    <row r="644" spans="1:17" ht="15">
      <c r="A644" t="s">
        <v>17</v>
      </c>
      <c r="B644" s="1">
        <v>41807</v>
      </c>
      <c r="C644" t="s">
        <v>463</v>
      </c>
      <c r="D644" t="str">
        <f>CONCATENATE("0040025821","")</f>
        <v>0040025821</v>
      </c>
      <c r="E644" t="str">
        <f>CONCATENATE("0500210000070       ","")</f>
        <v>0500210000070       </v>
      </c>
      <c r="F644" t="str">
        <f>CONCATENATE("983072100992","")</f>
        <v>983072100992</v>
      </c>
      <c r="G644" t="s">
        <v>1349</v>
      </c>
      <c r="H644" t="s">
        <v>1353</v>
      </c>
      <c r="I644" t="s">
        <v>1351</v>
      </c>
      <c r="J644" t="str">
        <f t="shared" si="91"/>
        <v>080507</v>
      </c>
      <c r="K644" t="s">
        <v>21</v>
      </c>
      <c r="L644" t="s">
        <v>22</v>
      </c>
      <c r="M644" t="str">
        <f t="shared" si="92"/>
        <v>1</v>
      </c>
      <c r="O644" t="str">
        <f>CONCATENATE("2 ","")</f>
        <v>2 </v>
      </c>
      <c r="P644">
        <v>31.35</v>
      </c>
      <c r="Q644" t="s">
        <v>23</v>
      </c>
    </row>
    <row r="645" spans="1:17" ht="15">
      <c r="A645" t="s">
        <v>17</v>
      </c>
      <c r="B645" s="1">
        <v>41807</v>
      </c>
      <c r="C645" t="s">
        <v>463</v>
      </c>
      <c r="D645" t="str">
        <f>CONCATENATE("0040025829","")</f>
        <v>0040025829</v>
      </c>
      <c r="E645" t="str">
        <f>CONCATENATE("0500210000090       ","")</f>
        <v>0500210000090       </v>
      </c>
      <c r="F645" t="str">
        <f>CONCATENATE("983072100929","")</f>
        <v>983072100929</v>
      </c>
      <c r="G645" t="s">
        <v>1349</v>
      </c>
      <c r="H645" t="s">
        <v>1354</v>
      </c>
      <c r="I645" t="s">
        <v>1351</v>
      </c>
      <c r="J645" t="str">
        <f t="shared" si="91"/>
        <v>080507</v>
      </c>
      <c r="K645" t="s">
        <v>21</v>
      </c>
      <c r="L645" t="s">
        <v>22</v>
      </c>
      <c r="M645" t="str">
        <f t="shared" si="92"/>
        <v>1</v>
      </c>
      <c r="O645" t="str">
        <f>CONCATENATE("4 ","")</f>
        <v>4 </v>
      </c>
      <c r="P645">
        <v>35.15</v>
      </c>
      <c r="Q645" t="s">
        <v>23</v>
      </c>
    </row>
    <row r="646" spans="1:17" ht="15">
      <c r="A646" t="s">
        <v>17</v>
      </c>
      <c r="B646" s="1">
        <v>41807</v>
      </c>
      <c r="C646" t="s">
        <v>463</v>
      </c>
      <c r="D646" t="str">
        <f>CONCATENATE("0040025817","")</f>
        <v>0040025817</v>
      </c>
      <c r="E646" t="str">
        <f>CONCATENATE("0500210000190       ","")</f>
        <v>0500210000190       </v>
      </c>
      <c r="F646" t="str">
        <f>CONCATENATE("983072101001","")</f>
        <v>983072101001</v>
      </c>
      <c r="G646" t="s">
        <v>1349</v>
      </c>
      <c r="H646" t="s">
        <v>1355</v>
      </c>
      <c r="I646" t="s">
        <v>1351</v>
      </c>
      <c r="J646" t="str">
        <f t="shared" si="91"/>
        <v>080507</v>
      </c>
      <c r="K646" t="s">
        <v>21</v>
      </c>
      <c r="L646" t="s">
        <v>22</v>
      </c>
      <c r="M646" t="str">
        <f t="shared" si="92"/>
        <v>1</v>
      </c>
      <c r="O646" t="str">
        <f>CONCATENATE("7 ","")</f>
        <v>7 </v>
      </c>
      <c r="P646">
        <v>57.05</v>
      </c>
      <c r="Q646" t="s">
        <v>23</v>
      </c>
    </row>
    <row r="647" spans="1:17" ht="15">
      <c r="A647" t="s">
        <v>17</v>
      </c>
      <c r="B647" s="1">
        <v>41807</v>
      </c>
      <c r="C647" t="s">
        <v>463</v>
      </c>
      <c r="D647" t="str">
        <f>CONCATENATE("0040025818","")</f>
        <v>0040025818</v>
      </c>
      <c r="E647" t="str">
        <f>CONCATENATE("0500210000200       ","")</f>
        <v>0500210000200       </v>
      </c>
      <c r="F647" t="str">
        <f>CONCATENATE("983072101002","")</f>
        <v>983072101002</v>
      </c>
      <c r="G647" t="s">
        <v>1349</v>
      </c>
      <c r="H647" t="s">
        <v>1356</v>
      </c>
      <c r="I647" t="s">
        <v>1351</v>
      </c>
      <c r="J647" t="str">
        <f t="shared" si="91"/>
        <v>080507</v>
      </c>
      <c r="K647" t="s">
        <v>21</v>
      </c>
      <c r="L647" t="s">
        <v>22</v>
      </c>
      <c r="M647" t="str">
        <f t="shared" si="92"/>
        <v>1</v>
      </c>
      <c r="O647" t="str">
        <f>CONCATENATE("7 ","")</f>
        <v>7 </v>
      </c>
      <c r="P647">
        <v>68.05</v>
      </c>
      <c r="Q647" t="s">
        <v>23</v>
      </c>
    </row>
    <row r="648" spans="1:17" ht="15">
      <c r="A648" t="s">
        <v>17</v>
      </c>
      <c r="B648" s="1">
        <v>41807</v>
      </c>
      <c r="C648" t="s">
        <v>463</v>
      </c>
      <c r="D648" t="str">
        <f>CONCATENATE("0040025819","")</f>
        <v>0040025819</v>
      </c>
      <c r="E648" t="str">
        <f>CONCATENATE("0500210000210       ","")</f>
        <v>0500210000210       </v>
      </c>
      <c r="F648" t="str">
        <f>CONCATENATE("983072101001","")</f>
        <v>983072101001</v>
      </c>
      <c r="G648" t="s">
        <v>1349</v>
      </c>
      <c r="H648" t="s">
        <v>1357</v>
      </c>
      <c r="I648" t="s">
        <v>1351</v>
      </c>
      <c r="J648" t="str">
        <f t="shared" si="91"/>
        <v>080507</v>
      </c>
      <c r="K648" t="s">
        <v>21</v>
      </c>
      <c r="L648" t="s">
        <v>22</v>
      </c>
      <c r="M648" t="str">
        <f t="shared" si="92"/>
        <v>1</v>
      </c>
      <c r="O648" t="str">
        <f>CONCATENATE("1 ","")</f>
        <v>1 </v>
      </c>
      <c r="P648">
        <v>12.85</v>
      </c>
      <c r="Q648" t="s">
        <v>23</v>
      </c>
    </row>
    <row r="649" spans="1:17" ht="15">
      <c r="A649" t="s">
        <v>17</v>
      </c>
      <c r="B649" s="1">
        <v>41807</v>
      </c>
      <c r="C649" t="s">
        <v>463</v>
      </c>
      <c r="D649" t="str">
        <f>CONCATENATE("0040025901","")</f>
        <v>0040025901</v>
      </c>
      <c r="E649" t="str">
        <f>CONCATENATE("0500211000030       ","")</f>
        <v>0500211000030       </v>
      </c>
      <c r="F649" t="str">
        <f>CONCATENATE("983072100930","")</f>
        <v>983072100930</v>
      </c>
      <c r="G649" t="s">
        <v>1358</v>
      </c>
      <c r="H649" t="s">
        <v>1359</v>
      </c>
      <c r="I649" t="s">
        <v>1360</v>
      </c>
      <c r="J649" t="str">
        <f t="shared" si="91"/>
        <v>080507</v>
      </c>
      <c r="K649" t="s">
        <v>21</v>
      </c>
      <c r="L649" t="s">
        <v>22</v>
      </c>
      <c r="M649" t="str">
        <f t="shared" si="92"/>
        <v>1</v>
      </c>
      <c r="O649" t="str">
        <f>CONCATENATE("1 ","")</f>
        <v>1 </v>
      </c>
      <c r="P649">
        <v>15.6</v>
      </c>
      <c r="Q649" t="s">
        <v>23</v>
      </c>
    </row>
    <row r="650" spans="1:17" ht="15">
      <c r="A650" t="s">
        <v>17</v>
      </c>
      <c r="B650" s="1">
        <v>41807</v>
      </c>
      <c r="C650" t="s">
        <v>463</v>
      </c>
      <c r="D650" t="str">
        <f>CONCATENATE("0040025902","")</f>
        <v>0040025902</v>
      </c>
      <c r="E650" t="str">
        <f>CONCATENATE("0500211000050       ","")</f>
        <v>0500211000050       </v>
      </c>
      <c r="F650" t="str">
        <f>CONCATENATE("983072100929","")</f>
        <v>983072100929</v>
      </c>
      <c r="G650" t="s">
        <v>1358</v>
      </c>
      <c r="H650" t="s">
        <v>1361</v>
      </c>
      <c r="I650" t="s">
        <v>1360</v>
      </c>
      <c r="J650" t="str">
        <f t="shared" si="91"/>
        <v>080507</v>
      </c>
      <c r="K650" t="s">
        <v>21</v>
      </c>
      <c r="L650" t="s">
        <v>22</v>
      </c>
      <c r="M650" t="str">
        <f t="shared" si="92"/>
        <v>1</v>
      </c>
      <c r="O650" t="str">
        <f>CONCATENATE("2 ","")</f>
        <v>2 </v>
      </c>
      <c r="P650">
        <v>22.95</v>
      </c>
      <c r="Q650" t="s">
        <v>23</v>
      </c>
    </row>
    <row r="651" spans="1:17" ht="15">
      <c r="A651" t="s">
        <v>17</v>
      </c>
      <c r="B651" s="1">
        <v>41807</v>
      </c>
      <c r="C651" t="s">
        <v>463</v>
      </c>
      <c r="D651" t="str">
        <f>CONCATENATE("0040025917","")</f>
        <v>0040025917</v>
      </c>
      <c r="E651" t="str">
        <f>CONCATENATE("0500211000220       ","")</f>
        <v>0500211000220       </v>
      </c>
      <c r="F651" t="str">
        <f>CONCATENATE("983072100923","")</f>
        <v>983072100923</v>
      </c>
      <c r="G651" t="s">
        <v>1358</v>
      </c>
      <c r="H651" t="s">
        <v>1362</v>
      </c>
      <c r="I651" t="s">
        <v>1360</v>
      </c>
      <c r="J651" t="str">
        <f t="shared" si="91"/>
        <v>080507</v>
      </c>
      <c r="K651" t="s">
        <v>21</v>
      </c>
      <c r="L651" t="s">
        <v>22</v>
      </c>
      <c r="M651" t="str">
        <f t="shared" si="92"/>
        <v>1</v>
      </c>
      <c r="O651" t="str">
        <f>CONCATENATE("1 ","")</f>
        <v>1 </v>
      </c>
      <c r="P651">
        <v>15.65</v>
      </c>
      <c r="Q651" t="s">
        <v>23</v>
      </c>
    </row>
    <row r="652" spans="1:17" ht="15">
      <c r="A652" t="s">
        <v>17</v>
      </c>
      <c r="B652" s="1">
        <v>41807</v>
      </c>
      <c r="C652" t="s">
        <v>463</v>
      </c>
      <c r="D652" t="str">
        <f>CONCATENATE("0040025924","")</f>
        <v>0040025924</v>
      </c>
      <c r="E652" t="str">
        <f>CONCATENATE("0500211000270       ","")</f>
        <v>0500211000270       </v>
      </c>
      <c r="F652" t="str">
        <f>CONCATENATE("983072101000","")</f>
        <v>983072101000</v>
      </c>
      <c r="G652" t="s">
        <v>1358</v>
      </c>
      <c r="H652" t="s">
        <v>1363</v>
      </c>
      <c r="I652" t="s">
        <v>1360</v>
      </c>
      <c r="J652" t="str">
        <f t="shared" si="91"/>
        <v>080507</v>
      </c>
      <c r="K652" t="s">
        <v>21</v>
      </c>
      <c r="L652" t="s">
        <v>22</v>
      </c>
      <c r="M652" t="str">
        <f t="shared" si="92"/>
        <v>1</v>
      </c>
      <c r="O652" t="str">
        <f>CONCATENATE("1 ","")</f>
        <v>1 </v>
      </c>
      <c r="P652">
        <v>19.5</v>
      </c>
      <c r="Q652" t="s">
        <v>23</v>
      </c>
    </row>
    <row r="653" spans="1:17" ht="15">
      <c r="A653" t="s">
        <v>17</v>
      </c>
      <c r="B653" s="1">
        <v>41807</v>
      </c>
      <c r="C653" t="s">
        <v>463</v>
      </c>
      <c r="D653" t="str">
        <f>CONCATENATE("0040025921","")</f>
        <v>0040025921</v>
      </c>
      <c r="E653" t="str">
        <f>CONCATENATE("0500211000320       ","")</f>
        <v>0500211000320       </v>
      </c>
      <c r="F653" t="str">
        <f>CONCATENATE("983072101000","")</f>
        <v>983072101000</v>
      </c>
      <c r="G653" t="s">
        <v>1358</v>
      </c>
      <c r="H653" t="s">
        <v>1364</v>
      </c>
      <c r="I653" t="s">
        <v>1360</v>
      </c>
      <c r="J653" t="str">
        <f t="shared" si="91"/>
        <v>080507</v>
      </c>
      <c r="K653" t="s">
        <v>21</v>
      </c>
      <c r="L653" t="s">
        <v>22</v>
      </c>
      <c r="M653" t="str">
        <f t="shared" si="92"/>
        <v>1</v>
      </c>
      <c r="O653" t="str">
        <f>CONCATENATE("1 ","")</f>
        <v>1 </v>
      </c>
      <c r="P653">
        <v>35.1</v>
      </c>
      <c r="Q653" t="s">
        <v>23</v>
      </c>
    </row>
    <row r="654" spans="1:17" ht="15">
      <c r="A654" t="s">
        <v>17</v>
      </c>
      <c r="B654" s="1">
        <v>41807</v>
      </c>
      <c r="C654" t="s">
        <v>463</v>
      </c>
      <c r="D654" t="str">
        <f>CONCATENATE("0040025706","")</f>
        <v>0040025706</v>
      </c>
      <c r="E654" t="str">
        <f>CONCATENATE("0500230000020       ","")</f>
        <v>0500230000020       </v>
      </c>
      <c r="F654" t="str">
        <f>CONCATENATE("983072100930","")</f>
        <v>983072100930</v>
      </c>
      <c r="G654" t="s">
        <v>1365</v>
      </c>
      <c r="H654" t="s">
        <v>1366</v>
      </c>
      <c r="I654" t="s">
        <v>1367</v>
      </c>
      <c r="J654" t="str">
        <f t="shared" si="91"/>
        <v>080507</v>
      </c>
      <c r="K654" t="s">
        <v>21</v>
      </c>
      <c r="L654" t="s">
        <v>22</v>
      </c>
      <c r="M654" t="str">
        <f t="shared" si="92"/>
        <v>1</v>
      </c>
      <c r="O654" t="str">
        <f>CONCATENATE("7 ","")</f>
        <v>7 </v>
      </c>
      <c r="P654">
        <v>54.8</v>
      </c>
      <c r="Q654" t="s">
        <v>23</v>
      </c>
    </row>
    <row r="655" spans="1:17" ht="15">
      <c r="A655" t="s">
        <v>17</v>
      </c>
      <c r="B655" s="1">
        <v>41807</v>
      </c>
      <c r="C655" t="s">
        <v>463</v>
      </c>
      <c r="D655" t="str">
        <f>CONCATENATE("0040025705","")</f>
        <v>0040025705</v>
      </c>
      <c r="E655" t="str">
        <f>CONCATENATE("0500230000080       ","")</f>
        <v>0500230000080       </v>
      </c>
      <c r="F655" t="str">
        <f>CONCATENATE("983072100991","")</f>
        <v>983072100991</v>
      </c>
      <c r="G655" t="s">
        <v>1365</v>
      </c>
      <c r="H655" t="s">
        <v>1368</v>
      </c>
      <c r="I655" t="s">
        <v>1367</v>
      </c>
      <c r="J655" t="str">
        <f t="shared" si="91"/>
        <v>080507</v>
      </c>
      <c r="K655" t="s">
        <v>21</v>
      </c>
      <c r="L655" t="s">
        <v>22</v>
      </c>
      <c r="M655" t="str">
        <f t="shared" si="92"/>
        <v>1</v>
      </c>
      <c r="O655" t="str">
        <f>CONCATENATE("1 ","")</f>
        <v>1 </v>
      </c>
      <c r="P655">
        <v>12.95</v>
      </c>
      <c r="Q655" t="s">
        <v>23</v>
      </c>
    </row>
    <row r="656" spans="1:17" ht="15">
      <c r="A656" t="s">
        <v>17</v>
      </c>
      <c r="B656" s="1">
        <v>41807</v>
      </c>
      <c r="C656" t="s">
        <v>463</v>
      </c>
      <c r="D656" t="str">
        <f>CONCATENATE("0040025711","")</f>
        <v>0040025711</v>
      </c>
      <c r="E656" t="str">
        <f>CONCATENATE("0500230000180       ","")</f>
        <v>0500230000180       </v>
      </c>
      <c r="F656" t="str">
        <f>CONCATENATE("983072100930","")</f>
        <v>983072100930</v>
      </c>
      <c r="G656" t="s">
        <v>1365</v>
      </c>
      <c r="H656" t="s">
        <v>1369</v>
      </c>
      <c r="I656" t="s">
        <v>1367</v>
      </c>
      <c r="J656" t="str">
        <f t="shared" si="91"/>
        <v>080507</v>
      </c>
      <c r="K656" t="s">
        <v>21</v>
      </c>
      <c r="L656" t="s">
        <v>22</v>
      </c>
      <c r="M656" t="str">
        <f t="shared" si="92"/>
        <v>1</v>
      </c>
      <c r="O656" t="str">
        <f>CONCATENATE("1 ","")</f>
        <v>1 </v>
      </c>
      <c r="P656">
        <v>47.8</v>
      </c>
      <c r="Q656" t="s">
        <v>23</v>
      </c>
    </row>
    <row r="657" spans="1:17" ht="15">
      <c r="A657" t="s">
        <v>17</v>
      </c>
      <c r="B657" s="1">
        <v>41807</v>
      </c>
      <c r="C657" t="s">
        <v>463</v>
      </c>
      <c r="D657" t="str">
        <f>CONCATENATE("0040025701","")</f>
        <v>0040025701</v>
      </c>
      <c r="E657" t="str">
        <f>CONCATENATE("050023100050        ","")</f>
        <v>050023100050        </v>
      </c>
      <c r="F657" t="str">
        <f>CONCATENATE("983072100993","")</f>
        <v>983072100993</v>
      </c>
      <c r="G657" t="s">
        <v>1370</v>
      </c>
      <c r="H657" t="s">
        <v>1371</v>
      </c>
      <c r="I657" t="s">
        <v>1372</v>
      </c>
      <c r="J657" t="str">
        <f t="shared" si="91"/>
        <v>080507</v>
      </c>
      <c r="K657" t="s">
        <v>21</v>
      </c>
      <c r="L657" t="s">
        <v>22</v>
      </c>
      <c r="M657" t="str">
        <f t="shared" si="92"/>
        <v>1</v>
      </c>
      <c r="O657" t="str">
        <f>CONCATENATE("1 ","")</f>
        <v>1 </v>
      </c>
      <c r="P657">
        <v>215</v>
      </c>
      <c r="Q657" t="s">
        <v>23</v>
      </c>
    </row>
    <row r="658" spans="1:17" ht="15">
      <c r="A658" t="s">
        <v>17</v>
      </c>
      <c r="B658" s="1">
        <v>41807</v>
      </c>
      <c r="C658" t="s">
        <v>463</v>
      </c>
      <c r="D658" t="str">
        <f>CONCATENATE("0040025697","")</f>
        <v>0040025697</v>
      </c>
      <c r="E658" t="str">
        <f>CONCATENATE("050023100090        ","")</f>
        <v>050023100090        </v>
      </c>
      <c r="F658" t="str">
        <f>CONCATENATE("983072100989","")</f>
        <v>983072100989</v>
      </c>
      <c r="G658" t="s">
        <v>1370</v>
      </c>
      <c r="H658" t="s">
        <v>1373</v>
      </c>
      <c r="I658" t="s">
        <v>1372</v>
      </c>
      <c r="J658" t="str">
        <f t="shared" si="91"/>
        <v>080507</v>
      </c>
      <c r="K658" t="s">
        <v>21</v>
      </c>
      <c r="L658" t="s">
        <v>22</v>
      </c>
      <c r="M658" t="str">
        <f t="shared" si="92"/>
        <v>1</v>
      </c>
      <c r="O658" t="str">
        <f>CONCATENATE("3 ","")</f>
        <v>3 </v>
      </c>
      <c r="P658">
        <v>25.8</v>
      </c>
      <c r="Q658" t="s">
        <v>23</v>
      </c>
    </row>
    <row r="659" spans="1:17" ht="15">
      <c r="A659" t="s">
        <v>17</v>
      </c>
      <c r="B659" s="1">
        <v>41807</v>
      </c>
      <c r="C659" t="s">
        <v>463</v>
      </c>
      <c r="D659" t="str">
        <f>CONCATENATE("0040025784","")</f>
        <v>0040025784</v>
      </c>
      <c r="E659" t="str">
        <f>CONCATENATE("0500232000050       ","")</f>
        <v>0500232000050       </v>
      </c>
      <c r="F659" t="str">
        <f>CONCATENATE("983072100993","")</f>
        <v>983072100993</v>
      </c>
      <c r="G659" t="s">
        <v>1374</v>
      </c>
      <c r="H659" t="s">
        <v>1375</v>
      </c>
      <c r="I659" t="s">
        <v>1376</v>
      </c>
      <c r="J659" t="str">
        <f t="shared" si="91"/>
        <v>080507</v>
      </c>
      <c r="K659" t="s">
        <v>21</v>
      </c>
      <c r="L659" t="s">
        <v>22</v>
      </c>
      <c r="M659" t="str">
        <f t="shared" si="92"/>
        <v>1</v>
      </c>
      <c r="O659" t="str">
        <f>CONCATENATE("2 ","")</f>
        <v>2 </v>
      </c>
      <c r="P659">
        <v>86.8</v>
      </c>
      <c r="Q659" t="s">
        <v>23</v>
      </c>
    </row>
    <row r="660" spans="1:17" ht="15">
      <c r="A660" t="s">
        <v>17</v>
      </c>
      <c r="B660" s="1">
        <v>41807</v>
      </c>
      <c r="C660" t="s">
        <v>463</v>
      </c>
      <c r="D660" t="str">
        <f>CONCATENATE("0040025961","")</f>
        <v>0040025961</v>
      </c>
      <c r="E660" t="str">
        <f>CONCATENATE("0500240000010       ","")</f>
        <v>0500240000010       </v>
      </c>
      <c r="F660" t="str">
        <f>CONCATENATE("983072100925","")</f>
        <v>983072100925</v>
      </c>
      <c r="G660" t="s">
        <v>1377</v>
      </c>
      <c r="H660" t="s">
        <v>1378</v>
      </c>
      <c r="I660" t="s">
        <v>1379</v>
      </c>
      <c r="J660" t="str">
        <f t="shared" si="91"/>
        <v>080507</v>
      </c>
      <c r="K660" t="s">
        <v>21</v>
      </c>
      <c r="L660" t="s">
        <v>22</v>
      </c>
      <c r="M660" t="str">
        <f t="shared" si="92"/>
        <v>1</v>
      </c>
      <c r="O660" t="str">
        <f>CONCATENATE("1 ","")</f>
        <v>1 </v>
      </c>
      <c r="P660">
        <v>20.1</v>
      </c>
      <c r="Q660" t="s">
        <v>23</v>
      </c>
    </row>
    <row r="661" spans="1:17" ht="15">
      <c r="A661" t="s">
        <v>17</v>
      </c>
      <c r="B661" s="1">
        <v>41807</v>
      </c>
      <c r="C661" t="s">
        <v>463</v>
      </c>
      <c r="D661" t="str">
        <f>CONCATENATE("0040025968","")</f>
        <v>0040025968</v>
      </c>
      <c r="E661" t="str">
        <f>CONCATENATE("0500240000080       ","")</f>
        <v>0500240000080       </v>
      </c>
      <c r="F661" t="str">
        <f>CONCATENATE("983072101000","")</f>
        <v>983072101000</v>
      </c>
      <c r="G661" t="s">
        <v>1377</v>
      </c>
      <c r="H661" t="s">
        <v>1380</v>
      </c>
      <c r="I661" t="s">
        <v>1379</v>
      </c>
      <c r="J661" t="str">
        <f t="shared" si="91"/>
        <v>080507</v>
      </c>
      <c r="K661" t="s">
        <v>21</v>
      </c>
      <c r="L661" t="s">
        <v>22</v>
      </c>
      <c r="M661" t="str">
        <f t="shared" si="92"/>
        <v>1</v>
      </c>
      <c r="O661" t="str">
        <f>CONCATENATE("2 ","")</f>
        <v>2 </v>
      </c>
      <c r="P661">
        <v>32.85</v>
      </c>
      <c r="Q661" t="s">
        <v>23</v>
      </c>
    </row>
    <row r="662" spans="1:17" ht="15">
      <c r="A662" t="s">
        <v>17</v>
      </c>
      <c r="B662" s="1">
        <v>41807</v>
      </c>
      <c r="C662" t="s">
        <v>463</v>
      </c>
      <c r="D662" t="str">
        <f>CONCATENATE("0040025934","")</f>
        <v>0040025934</v>
      </c>
      <c r="E662" t="str">
        <f>CONCATENATE("0500240000090       ","")</f>
        <v>0500240000090       </v>
      </c>
      <c r="F662" t="str">
        <f>CONCATENATE("983072100995","")</f>
        <v>983072100995</v>
      </c>
      <c r="G662" t="s">
        <v>1377</v>
      </c>
      <c r="H662" t="s">
        <v>1381</v>
      </c>
      <c r="I662" t="s">
        <v>1379</v>
      </c>
      <c r="J662" t="str">
        <f t="shared" si="91"/>
        <v>080507</v>
      </c>
      <c r="K662" t="s">
        <v>21</v>
      </c>
      <c r="L662" t="s">
        <v>22</v>
      </c>
      <c r="M662" t="str">
        <f t="shared" si="92"/>
        <v>1</v>
      </c>
      <c r="O662" t="str">
        <f aca="true" t="shared" si="93" ref="O662:O668">CONCATENATE("1 ","")</f>
        <v>1 </v>
      </c>
      <c r="P662">
        <v>19.85</v>
      </c>
      <c r="Q662" t="s">
        <v>23</v>
      </c>
    </row>
    <row r="663" spans="1:17" ht="15">
      <c r="A663" t="s">
        <v>17</v>
      </c>
      <c r="B663" s="1">
        <v>41807</v>
      </c>
      <c r="C663" t="s">
        <v>463</v>
      </c>
      <c r="D663" t="str">
        <f>CONCATENATE("0040025959","")</f>
        <v>0040025959</v>
      </c>
      <c r="E663" t="str">
        <f>CONCATENATE("0500240000220       ","")</f>
        <v>0500240000220       </v>
      </c>
      <c r="F663" t="str">
        <f>CONCATENATE("983072100999","")</f>
        <v>983072100999</v>
      </c>
      <c r="G663" t="s">
        <v>1377</v>
      </c>
      <c r="H663" t="s">
        <v>1382</v>
      </c>
      <c r="I663" t="s">
        <v>1379</v>
      </c>
      <c r="J663" t="str">
        <f t="shared" si="91"/>
        <v>080507</v>
      </c>
      <c r="K663" t="s">
        <v>21</v>
      </c>
      <c r="L663" t="s">
        <v>22</v>
      </c>
      <c r="M663" t="str">
        <f t="shared" si="92"/>
        <v>1</v>
      </c>
      <c r="O663" t="str">
        <f t="shared" si="93"/>
        <v>1 </v>
      </c>
      <c r="P663">
        <v>20.2</v>
      </c>
      <c r="Q663" t="s">
        <v>23</v>
      </c>
    </row>
    <row r="664" spans="1:17" ht="15">
      <c r="A664" t="s">
        <v>17</v>
      </c>
      <c r="B664" s="1">
        <v>41807</v>
      </c>
      <c r="C664" t="s">
        <v>463</v>
      </c>
      <c r="D664" t="str">
        <f>CONCATENATE("0040025950","")</f>
        <v>0040025950</v>
      </c>
      <c r="E664" t="str">
        <f>CONCATENATE("0500240000270       ","")</f>
        <v>0500240000270       </v>
      </c>
      <c r="F664" t="str">
        <f>CONCATENATE("983072100999","")</f>
        <v>983072100999</v>
      </c>
      <c r="G664" t="s">
        <v>1377</v>
      </c>
      <c r="H664" t="s">
        <v>1383</v>
      </c>
      <c r="I664" t="s">
        <v>1379</v>
      </c>
      <c r="J664" t="str">
        <f t="shared" si="91"/>
        <v>080507</v>
      </c>
      <c r="K664" t="s">
        <v>21</v>
      </c>
      <c r="L664" t="s">
        <v>22</v>
      </c>
      <c r="M664" t="str">
        <f t="shared" si="92"/>
        <v>1</v>
      </c>
      <c r="O664" t="str">
        <f t="shared" si="93"/>
        <v>1 </v>
      </c>
      <c r="P664">
        <v>12.9</v>
      </c>
      <c r="Q664" t="s">
        <v>23</v>
      </c>
    </row>
    <row r="665" spans="1:17" ht="15">
      <c r="A665" t="s">
        <v>17</v>
      </c>
      <c r="B665" s="1">
        <v>41807</v>
      </c>
      <c r="C665" t="s">
        <v>463</v>
      </c>
      <c r="D665" t="str">
        <f>CONCATENATE("0040025953","")</f>
        <v>0040025953</v>
      </c>
      <c r="E665" t="str">
        <f>CONCATENATE("0500240000300       ","")</f>
        <v>0500240000300       </v>
      </c>
      <c r="F665" t="str">
        <f>CONCATENATE("983072100996","")</f>
        <v>983072100996</v>
      </c>
      <c r="G665" t="s">
        <v>1377</v>
      </c>
      <c r="H665" t="s">
        <v>1384</v>
      </c>
      <c r="I665" t="s">
        <v>1379</v>
      </c>
      <c r="J665" t="str">
        <f t="shared" si="91"/>
        <v>080507</v>
      </c>
      <c r="K665" t="s">
        <v>21</v>
      </c>
      <c r="L665" t="s">
        <v>22</v>
      </c>
      <c r="M665" t="str">
        <f t="shared" si="92"/>
        <v>1</v>
      </c>
      <c r="O665" t="str">
        <f t="shared" si="93"/>
        <v>1 </v>
      </c>
      <c r="P665">
        <v>29.6</v>
      </c>
      <c r="Q665" t="s">
        <v>23</v>
      </c>
    </row>
    <row r="666" spans="1:17" ht="15">
      <c r="A666" t="s">
        <v>17</v>
      </c>
      <c r="B666" s="1">
        <v>41807</v>
      </c>
      <c r="C666" t="s">
        <v>463</v>
      </c>
      <c r="D666" t="str">
        <f>CONCATENATE("0040025962","")</f>
        <v>0040025962</v>
      </c>
      <c r="E666" t="str">
        <f>CONCATENATE("0500240000330       ","")</f>
        <v>0500240000330       </v>
      </c>
      <c r="F666" t="str">
        <f>CONCATENATE("983072100925","")</f>
        <v>983072100925</v>
      </c>
      <c r="G666" t="s">
        <v>1377</v>
      </c>
      <c r="H666" t="s">
        <v>1385</v>
      </c>
      <c r="I666" t="s">
        <v>1379</v>
      </c>
      <c r="J666" t="str">
        <f t="shared" si="91"/>
        <v>080507</v>
      </c>
      <c r="K666" t="s">
        <v>21</v>
      </c>
      <c r="L666" t="s">
        <v>22</v>
      </c>
      <c r="M666" t="str">
        <f t="shared" si="92"/>
        <v>1</v>
      </c>
      <c r="O666" t="str">
        <f t="shared" si="93"/>
        <v>1 </v>
      </c>
      <c r="P666">
        <v>22.6</v>
      </c>
      <c r="Q666" t="s">
        <v>23</v>
      </c>
    </row>
    <row r="667" spans="1:17" ht="15">
      <c r="A667" t="s">
        <v>17</v>
      </c>
      <c r="B667" s="1">
        <v>41807</v>
      </c>
      <c r="C667" t="s">
        <v>463</v>
      </c>
      <c r="D667" t="str">
        <f>CONCATENATE("0040025966","")</f>
        <v>0040025966</v>
      </c>
      <c r="E667" t="str">
        <f>CONCATENATE("0500240000360       ","")</f>
        <v>0500240000360       </v>
      </c>
      <c r="F667" t="str">
        <f>CONCATENATE("983072101003","")</f>
        <v>983072101003</v>
      </c>
      <c r="G667" t="s">
        <v>1377</v>
      </c>
      <c r="H667" t="s">
        <v>1386</v>
      </c>
      <c r="I667" t="s">
        <v>1379</v>
      </c>
      <c r="J667" t="str">
        <f t="shared" si="91"/>
        <v>080507</v>
      </c>
      <c r="K667" t="s">
        <v>21</v>
      </c>
      <c r="L667" t="s">
        <v>22</v>
      </c>
      <c r="M667" t="str">
        <f t="shared" si="92"/>
        <v>1</v>
      </c>
      <c r="O667" t="str">
        <f t="shared" si="93"/>
        <v>1 </v>
      </c>
      <c r="P667">
        <v>23.7</v>
      </c>
      <c r="Q667" t="s">
        <v>23</v>
      </c>
    </row>
    <row r="668" spans="1:17" ht="15">
      <c r="A668" t="s">
        <v>17</v>
      </c>
      <c r="B668" s="1">
        <v>41807</v>
      </c>
      <c r="C668" t="s">
        <v>463</v>
      </c>
      <c r="D668" t="str">
        <f>CONCATENATE("0040025792","")</f>
        <v>0040025792</v>
      </c>
      <c r="E668" t="str">
        <f>CONCATENATE("0500241000030       ","")</f>
        <v>0500241000030       </v>
      </c>
      <c r="F668" t="str">
        <f>CONCATENATE("983072100925","")</f>
        <v>983072100925</v>
      </c>
      <c r="G668" t="s">
        <v>1387</v>
      </c>
      <c r="H668" t="s">
        <v>1388</v>
      </c>
      <c r="I668" t="s">
        <v>1389</v>
      </c>
      <c r="J668" t="str">
        <f t="shared" si="91"/>
        <v>080507</v>
      </c>
      <c r="K668" t="s">
        <v>21</v>
      </c>
      <c r="L668" t="s">
        <v>22</v>
      </c>
      <c r="M668" t="str">
        <f aca="true" t="shared" si="94" ref="M668:M684">CONCATENATE("1","")</f>
        <v>1</v>
      </c>
      <c r="O668" t="str">
        <f t="shared" si="93"/>
        <v>1 </v>
      </c>
      <c r="P668">
        <v>27.75</v>
      </c>
      <c r="Q668" t="s">
        <v>23</v>
      </c>
    </row>
    <row r="669" spans="1:17" ht="15">
      <c r="A669" t="s">
        <v>17</v>
      </c>
      <c r="B669" s="1">
        <v>41807</v>
      </c>
      <c r="C669" t="s">
        <v>463</v>
      </c>
      <c r="D669" t="str">
        <f>CONCATENATE("0040025794","")</f>
        <v>0040025794</v>
      </c>
      <c r="E669" t="str">
        <f>CONCATENATE("0500241000040       ","")</f>
        <v>0500241000040       </v>
      </c>
      <c r="F669" t="str">
        <f>CONCATENATE("983072101003","")</f>
        <v>983072101003</v>
      </c>
      <c r="G669" t="s">
        <v>1387</v>
      </c>
      <c r="H669" t="s">
        <v>1390</v>
      </c>
      <c r="I669" t="s">
        <v>1389</v>
      </c>
      <c r="J669" t="str">
        <f t="shared" si="91"/>
        <v>080507</v>
      </c>
      <c r="K669" t="s">
        <v>21</v>
      </c>
      <c r="L669" t="s">
        <v>22</v>
      </c>
      <c r="M669" t="str">
        <f t="shared" si="94"/>
        <v>1</v>
      </c>
      <c r="O669" t="str">
        <f>CONCATENATE("7 ","")</f>
        <v>7 </v>
      </c>
      <c r="P669">
        <v>51.6</v>
      </c>
      <c r="Q669" t="s">
        <v>23</v>
      </c>
    </row>
    <row r="670" spans="1:17" ht="15">
      <c r="A670" t="s">
        <v>17</v>
      </c>
      <c r="B670" s="1">
        <v>41807</v>
      </c>
      <c r="C670" t="s">
        <v>463</v>
      </c>
      <c r="D670" t="str">
        <f>CONCATENATE("0040025797","")</f>
        <v>0040025797</v>
      </c>
      <c r="E670" t="str">
        <f>CONCATENATE("0500241000070       ","")</f>
        <v>0500241000070       </v>
      </c>
      <c r="F670" t="str">
        <f>CONCATENATE("983072100925","")</f>
        <v>983072100925</v>
      </c>
      <c r="G670" t="s">
        <v>1387</v>
      </c>
      <c r="H670" t="s">
        <v>1391</v>
      </c>
      <c r="I670" t="s">
        <v>1389</v>
      </c>
      <c r="J670" t="str">
        <f t="shared" si="91"/>
        <v>080507</v>
      </c>
      <c r="K670" t="s">
        <v>21</v>
      </c>
      <c r="L670" t="s">
        <v>22</v>
      </c>
      <c r="M670" t="str">
        <f t="shared" si="94"/>
        <v>1</v>
      </c>
      <c r="O670" t="str">
        <f aca="true" t="shared" si="95" ref="O670:O675">CONCATENATE("1 ","")</f>
        <v>1 </v>
      </c>
      <c r="P670">
        <v>110.1</v>
      </c>
      <c r="Q670" t="s">
        <v>23</v>
      </c>
    </row>
    <row r="671" spans="1:17" ht="15">
      <c r="A671" t="s">
        <v>17</v>
      </c>
      <c r="B671" s="1">
        <v>41807</v>
      </c>
      <c r="C671" t="s">
        <v>463</v>
      </c>
      <c r="D671" t="str">
        <f>CONCATENATE("0040025869","")</f>
        <v>0040025869</v>
      </c>
      <c r="E671" t="str">
        <f>CONCATENATE("0500242000040       ","")</f>
        <v>0500242000040       </v>
      </c>
      <c r="F671" t="str">
        <f>CONCATENATE("983072100932","")</f>
        <v>983072100932</v>
      </c>
      <c r="G671" t="s">
        <v>1392</v>
      </c>
      <c r="H671" t="s">
        <v>1393</v>
      </c>
      <c r="I671" t="s">
        <v>1394</v>
      </c>
      <c r="J671" t="str">
        <f t="shared" si="91"/>
        <v>080507</v>
      </c>
      <c r="K671" t="s">
        <v>21</v>
      </c>
      <c r="L671" t="s">
        <v>22</v>
      </c>
      <c r="M671" t="str">
        <f t="shared" si="94"/>
        <v>1</v>
      </c>
      <c r="O671" t="str">
        <f t="shared" si="95"/>
        <v>1 </v>
      </c>
      <c r="P671">
        <v>12.85</v>
      </c>
      <c r="Q671" t="s">
        <v>23</v>
      </c>
    </row>
    <row r="672" spans="1:17" ht="15">
      <c r="A672" t="s">
        <v>17</v>
      </c>
      <c r="B672" s="1">
        <v>41807</v>
      </c>
      <c r="C672" t="s">
        <v>463</v>
      </c>
      <c r="D672" t="str">
        <f>CONCATENATE("0040025750","")</f>
        <v>0040025750</v>
      </c>
      <c r="E672" t="str">
        <f>CONCATENATE("0500243000010       ","")</f>
        <v>0500243000010       </v>
      </c>
      <c r="F672" t="str">
        <f>CONCATENATE("983072100929","")</f>
        <v>983072100929</v>
      </c>
      <c r="G672" t="s">
        <v>1395</v>
      </c>
      <c r="H672" t="s">
        <v>1396</v>
      </c>
      <c r="I672" t="s">
        <v>1397</v>
      </c>
      <c r="J672" t="str">
        <f t="shared" si="91"/>
        <v>080507</v>
      </c>
      <c r="K672" t="s">
        <v>21</v>
      </c>
      <c r="L672" t="s">
        <v>22</v>
      </c>
      <c r="M672" t="str">
        <f t="shared" si="94"/>
        <v>1</v>
      </c>
      <c r="O672" t="str">
        <f t="shared" si="95"/>
        <v>1 </v>
      </c>
      <c r="P672">
        <v>13.9</v>
      </c>
      <c r="Q672" t="s">
        <v>23</v>
      </c>
    </row>
    <row r="673" spans="1:17" ht="15">
      <c r="A673" t="s">
        <v>17</v>
      </c>
      <c r="B673" s="1">
        <v>41807</v>
      </c>
      <c r="C673" t="s">
        <v>518</v>
      </c>
      <c r="D673" t="str">
        <f>CONCATENATE("0040025752","")</f>
        <v>0040025752</v>
      </c>
      <c r="E673" t="str">
        <f>CONCATENATE("0500243000040       ","")</f>
        <v>0500243000040       </v>
      </c>
      <c r="F673" t="str">
        <f>CONCATENATE("983072100929","")</f>
        <v>983072100929</v>
      </c>
      <c r="G673" t="s">
        <v>1395</v>
      </c>
      <c r="H673" t="s">
        <v>1398</v>
      </c>
      <c r="I673" t="s">
        <v>1397</v>
      </c>
      <c r="J673" t="str">
        <f>CONCATENATE("080502","")</f>
        <v>080502</v>
      </c>
      <c r="K673" t="s">
        <v>21</v>
      </c>
      <c r="L673" t="s">
        <v>22</v>
      </c>
      <c r="M673" t="str">
        <f t="shared" si="94"/>
        <v>1</v>
      </c>
      <c r="O673" t="str">
        <f t="shared" si="95"/>
        <v>1 </v>
      </c>
      <c r="P673">
        <v>14.6</v>
      </c>
      <c r="Q673" t="s">
        <v>23</v>
      </c>
    </row>
    <row r="674" spans="1:17" ht="15">
      <c r="A674" t="s">
        <v>17</v>
      </c>
      <c r="B674" s="1">
        <v>41807</v>
      </c>
      <c r="C674" t="s">
        <v>463</v>
      </c>
      <c r="D674" t="str">
        <f>CONCATENATE("0040025749","")</f>
        <v>0040025749</v>
      </c>
      <c r="E674" t="str">
        <f>CONCATENATE("0500243000050       ","")</f>
        <v>0500243000050       </v>
      </c>
      <c r="F674" t="str">
        <f>CONCATENATE("2186109","")</f>
        <v>2186109</v>
      </c>
      <c r="G674" t="s">
        <v>1395</v>
      </c>
      <c r="H674" t="s">
        <v>1399</v>
      </c>
      <c r="I674" t="s">
        <v>1397</v>
      </c>
      <c r="J674" t="str">
        <f>CONCATENATE("080507","")</f>
        <v>080507</v>
      </c>
      <c r="K674" t="s">
        <v>21</v>
      </c>
      <c r="L674" t="s">
        <v>22</v>
      </c>
      <c r="M674" t="str">
        <f t="shared" si="94"/>
        <v>1</v>
      </c>
      <c r="O674" t="str">
        <f t="shared" si="95"/>
        <v>1 </v>
      </c>
      <c r="P674">
        <v>31.25</v>
      </c>
      <c r="Q674" t="s">
        <v>23</v>
      </c>
    </row>
    <row r="675" spans="1:17" ht="15">
      <c r="A675" t="s">
        <v>17</v>
      </c>
      <c r="B675" s="1">
        <v>41807</v>
      </c>
      <c r="C675" t="s">
        <v>463</v>
      </c>
      <c r="D675" t="str">
        <f>CONCATENATE("0040025754","")</f>
        <v>0040025754</v>
      </c>
      <c r="E675" t="str">
        <f>CONCATENATE("0500243000080       ","")</f>
        <v>0500243000080       </v>
      </c>
      <c r="F675" t="str">
        <f>CONCATENATE("983072100929","")</f>
        <v>983072100929</v>
      </c>
      <c r="G675" t="s">
        <v>1395</v>
      </c>
      <c r="H675" t="s">
        <v>1400</v>
      </c>
      <c r="I675" t="s">
        <v>1397</v>
      </c>
      <c r="J675" t="str">
        <f>CONCATENATE("080507","")</f>
        <v>080507</v>
      </c>
      <c r="K675" t="s">
        <v>21</v>
      </c>
      <c r="L675" t="s">
        <v>22</v>
      </c>
      <c r="M675" t="str">
        <f t="shared" si="94"/>
        <v>1</v>
      </c>
      <c r="O675" t="str">
        <f t="shared" si="95"/>
        <v>1 </v>
      </c>
      <c r="P675">
        <v>28.9</v>
      </c>
      <c r="Q675" t="s">
        <v>23</v>
      </c>
    </row>
    <row r="676" spans="1:17" ht="15">
      <c r="A676" t="s">
        <v>17</v>
      </c>
      <c r="B676" s="1">
        <v>41807</v>
      </c>
      <c r="C676" t="s">
        <v>463</v>
      </c>
      <c r="D676" t="str">
        <f>CONCATENATE("0040028097","")</f>
        <v>0040028097</v>
      </c>
      <c r="E676" t="str">
        <f>CONCATENATE("0500243000100       ","")</f>
        <v>0500243000100       </v>
      </c>
      <c r="F676" t="str">
        <f>CONCATENATE("2128343","")</f>
        <v>2128343</v>
      </c>
      <c r="G676" t="s">
        <v>1401</v>
      </c>
      <c r="H676" t="s">
        <v>1402</v>
      </c>
      <c r="I676" t="s">
        <v>1403</v>
      </c>
      <c r="J676" t="str">
        <f>CONCATENATE("080507","")</f>
        <v>080507</v>
      </c>
      <c r="K676" t="s">
        <v>21</v>
      </c>
      <c r="L676" t="s">
        <v>22</v>
      </c>
      <c r="M676" t="str">
        <f t="shared" si="94"/>
        <v>1</v>
      </c>
      <c r="O676" t="str">
        <f>CONCATENATE("4 ","")</f>
        <v>4 </v>
      </c>
      <c r="P676">
        <v>48.15</v>
      </c>
      <c r="Q676" t="s">
        <v>23</v>
      </c>
    </row>
    <row r="677" spans="1:17" ht="15">
      <c r="A677" t="s">
        <v>17</v>
      </c>
      <c r="B677" s="1">
        <v>41807</v>
      </c>
      <c r="C677" t="s">
        <v>463</v>
      </c>
      <c r="D677" t="str">
        <f>CONCATENATE("0040025766","")</f>
        <v>0040025766</v>
      </c>
      <c r="E677" t="str">
        <f>CONCATENATE("0500250000030       ","")</f>
        <v>0500250000030       </v>
      </c>
      <c r="F677" t="str">
        <f>CONCATENATE("983072100925","")</f>
        <v>983072100925</v>
      </c>
      <c r="G677" t="s">
        <v>1404</v>
      </c>
      <c r="H677" t="s">
        <v>1405</v>
      </c>
      <c r="I677" t="s">
        <v>1406</v>
      </c>
      <c r="J677" t="str">
        <f>CONCATENATE("080507","")</f>
        <v>080507</v>
      </c>
      <c r="K677" t="s">
        <v>21</v>
      </c>
      <c r="L677" t="s">
        <v>22</v>
      </c>
      <c r="M677" t="str">
        <f t="shared" si="94"/>
        <v>1</v>
      </c>
      <c r="O677" t="str">
        <f>CONCATENATE("2 ","")</f>
        <v>2 </v>
      </c>
      <c r="P677">
        <v>89.5</v>
      </c>
      <c r="Q677" t="s">
        <v>23</v>
      </c>
    </row>
    <row r="678" spans="1:17" ht="15">
      <c r="A678" t="s">
        <v>17</v>
      </c>
      <c r="B678" s="1">
        <v>41807</v>
      </c>
      <c r="C678" t="s">
        <v>463</v>
      </c>
      <c r="D678" t="str">
        <f>CONCATENATE("0040025764","")</f>
        <v>0040025764</v>
      </c>
      <c r="E678" t="str">
        <f>CONCATENATE("0500250000050       ","")</f>
        <v>0500250000050       </v>
      </c>
      <c r="F678" t="str">
        <f>CONCATENATE("983072100925","")</f>
        <v>983072100925</v>
      </c>
      <c r="G678" t="s">
        <v>1404</v>
      </c>
      <c r="H678" t="s">
        <v>1407</v>
      </c>
      <c r="I678" t="s">
        <v>1406</v>
      </c>
      <c r="J678" t="str">
        <f>CONCATENATE("080507","")</f>
        <v>080507</v>
      </c>
      <c r="K678" t="s">
        <v>21</v>
      </c>
      <c r="L678" t="s">
        <v>22</v>
      </c>
      <c r="M678" t="str">
        <f t="shared" si="94"/>
        <v>1</v>
      </c>
      <c r="O678" t="str">
        <f>CONCATENATE("1 ","")</f>
        <v>1 </v>
      </c>
      <c r="P678">
        <v>15.25</v>
      </c>
      <c r="Q678" t="s">
        <v>23</v>
      </c>
    </row>
    <row r="679" spans="1:17" ht="15">
      <c r="A679" t="s">
        <v>17</v>
      </c>
      <c r="B679" s="1">
        <v>41807</v>
      </c>
      <c r="C679" t="s">
        <v>518</v>
      </c>
      <c r="D679" t="str">
        <f>CONCATENATE("0040025845","")</f>
        <v>0040025845</v>
      </c>
      <c r="E679" t="str">
        <f>CONCATENATE("0500251000010       ","")</f>
        <v>0500251000010       </v>
      </c>
      <c r="F679" t="str">
        <f>CONCATENATE("983072100928","")</f>
        <v>983072100928</v>
      </c>
      <c r="G679" t="s">
        <v>1408</v>
      </c>
      <c r="H679" t="s">
        <v>1409</v>
      </c>
      <c r="I679" t="s">
        <v>1410</v>
      </c>
      <c r="J679" t="str">
        <f aca="true" t="shared" si="96" ref="J679:J684">CONCATENATE("080502","")</f>
        <v>080502</v>
      </c>
      <c r="K679" t="s">
        <v>21</v>
      </c>
      <c r="L679" t="s">
        <v>22</v>
      </c>
      <c r="M679" t="str">
        <f t="shared" si="94"/>
        <v>1</v>
      </c>
      <c r="O679" t="str">
        <f>CONCATENATE("1 ","")</f>
        <v>1 </v>
      </c>
      <c r="P679">
        <v>15.35</v>
      </c>
      <c r="Q679" t="s">
        <v>23</v>
      </c>
    </row>
    <row r="680" spans="1:17" ht="15">
      <c r="A680" t="s">
        <v>17</v>
      </c>
      <c r="B680" s="1">
        <v>41807</v>
      </c>
      <c r="C680" t="s">
        <v>518</v>
      </c>
      <c r="D680" t="str">
        <f>CONCATENATE("0040025846","")</f>
        <v>0040025846</v>
      </c>
      <c r="E680" t="str">
        <f>CONCATENATE("0500251000020       ","")</f>
        <v>0500251000020       </v>
      </c>
      <c r="F680" t="str">
        <f>CONCATENATE("983072100933","")</f>
        <v>983072100933</v>
      </c>
      <c r="G680" t="s">
        <v>1408</v>
      </c>
      <c r="H680" t="s">
        <v>1411</v>
      </c>
      <c r="I680" t="s">
        <v>1410</v>
      </c>
      <c r="J680" t="str">
        <f t="shared" si="96"/>
        <v>080502</v>
      </c>
      <c r="K680" t="s">
        <v>21</v>
      </c>
      <c r="L680" t="s">
        <v>22</v>
      </c>
      <c r="M680" t="str">
        <f t="shared" si="94"/>
        <v>1</v>
      </c>
      <c r="O680" t="str">
        <f>CONCATENATE("2 ","")</f>
        <v>2 </v>
      </c>
      <c r="P680">
        <v>19</v>
      </c>
      <c r="Q680" t="s">
        <v>23</v>
      </c>
    </row>
    <row r="681" spans="1:17" ht="15">
      <c r="A681" t="s">
        <v>17</v>
      </c>
      <c r="B681" s="1">
        <v>41807</v>
      </c>
      <c r="C681" t="s">
        <v>518</v>
      </c>
      <c r="D681" t="str">
        <f>CONCATENATE("0040025848","")</f>
        <v>0040025848</v>
      </c>
      <c r="E681" t="str">
        <f>CONCATENATE("0500251000040       ","")</f>
        <v>0500251000040       </v>
      </c>
      <c r="F681" t="str">
        <f>CONCATENATE("983072100928","")</f>
        <v>983072100928</v>
      </c>
      <c r="G681" t="s">
        <v>1408</v>
      </c>
      <c r="H681" t="s">
        <v>1384</v>
      </c>
      <c r="I681" t="s">
        <v>1410</v>
      </c>
      <c r="J681" t="str">
        <f t="shared" si="96"/>
        <v>080502</v>
      </c>
      <c r="K681" t="s">
        <v>21</v>
      </c>
      <c r="L681" t="s">
        <v>22</v>
      </c>
      <c r="M681" t="str">
        <f t="shared" si="94"/>
        <v>1</v>
      </c>
      <c r="O681" t="str">
        <f>CONCATENATE("1 ","")</f>
        <v>1 </v>
      </c>
      <c r="P681">
        <v>14.95</v>
      </c>
      <c r="Q681" t="s">
        <v>23</v>
      </c>
    </row>
    <row r="682" spans="1:17" ht="15">
      <c r="A682" t="s">
        <v>17</v>
      </c>
      <c r="B682" s="1">
        <v>41807</v>
      </c>
      <c r="C682" t="s">
        <v>518</v>
      </c>
      <c r="D682" t="str">
        <f>CONCATENATE("0040025838","")</f>
        <v>0040025838</v>
      </c>
      <c r="E682" t="str">
        <f>CONCATENATE("0500251000070       ","")</f>
        <v>0500251000070       </v>
      </c>
      <c r="F682" t="str">
        <f>CONCATENATE("983072100928","")</f>
        <v>983072100928</v>
      </c>
      <c r="G682" t="s">
        <v>1408</v>
      </c>
      <c r="H682" t="s">
        <v>1412</v>
      </c>
      <c r="I682" t="s">
        <v>1410</v>
      </c>
      <c r="J682" t="str">
        <f t="shared" si="96"/>
        <v>080502</v>
      </c>
      <c r="K682" t="s">
        <v>21</v>
      </c>
      <c r="L682" t="s">
        <v>22</v>
      </c>
      <c r="M682" t="str">
        <f t="shared" si="94"/>
        <v>1</v>
      </c>
      <c r="O682" t="str">
        <f>CONCATENATE("3 ","")</f>
        <v>3 </v>
      </c>
      <c r="P682">
        <v>37</v>
      </c>
      <c r="Q682" t="s">
        <v>23</v>
      </c>
    </row>
    <row r="683" spans="1:17" ht="15">
      <c r="A683" t="s">
        <v>17</v>
      </c>
      <c r="B683" s="1">
        <v>41807</v>
      </c>
      <c r="C683" t="s">
        <v>518</v>
      </c>
      <c r="D683" t="str">
        <f>CONCATENATE("0040025837","")</f>
        <v>0040025837</v>
      </c>
      <c r="E683" t="str">
        <f>CONCATENATE("0500251000130       ","")</f>
        <v>0500251000130       </v>
      </c>
      <c r="F683" t="str">
        <f>CONCATENATE("983072100973","")</f>
        <v>983072100973</v>
      </c>
      <c r="G683" t="s">
        <v>1408</v>
      </c>
      <c r="H683" t="s">
        <v>1413</v>
      </c>
      <c r="I683" t="s">
        <v>1410</v>
      </c>
      <c r="J683" t="str">
        <f t="shared" si="96"/>
        <v>080502</v>
      </c>
      <c r="K683" t="s">
        <v>21</v>
      </c>
      <c r="L683" t="s">
        <v>22</v>
      </c>
      <c r="M683" t="str">
        <f t="shared" si="94"/>
        <v>1</v>
      </c>
      <c r="O683" t="str">
        <f>CONCATENATE("1 ","")</f>
        <v>1 </v>
      </c>
      <c r="P683">
        <v>12.85</v>
      </c>
      <c r="Q683" t="s">
        <v>23</v>
      </c>
    </row>
    <row r="684" spans="1:17" ht="15">
      <c r="A684" t="s">
        <v>17</v>
      </c>
      <c r="B684" s="1">
        <v>41807</v>
      </c>
      <c r="C684" t="s">
        <v>518</v>
      </c>
      <c r="D684" t="str">
        <f>CONCATENATE("0040025757","")</f>
        <v>0040025757</v>
      </c>
      <c r="E684" t="str">
        <f>CONCATENATE("0500252000010       ","")</f>
        <v>0500252000010       </v>
      </c>
      <c r="F684" t="str">
        <f>CONCATENATE("983072100929","")</f>
        <v>983072100929</v>
      </c>
      <c r="G684" t="s">
        <v>1414</v>
      </c>
      <c r="H684" t="s">
        <v>1415</v>
      </c>
      <c r="I684" t="s">
        <v>1416</v>
      </c>
      <c r="J684" t="str">
        <f t="shared" si="96"/>
        <v>080502</v>
      </c>
      <c r="K684" t="s">
        <v>21</v>
      </c>
      <c r="L684" t="s">
        <v>22</v>
      </c>
      <c r="M684" t="str">
        <f t="shared" si="94"/>
        <v>1</v>
      </c>
      <c r="O684" t="str">
        <f>CONCATENATE("1 ","")</f>
        <v>1 </v>
      </c>
      <c r="P684">
        <v>17.4</v>
      </c>
      <c r="Q684" t="s">
        <v>23</v>
      </c>
    </row>
  </sheetData>
  <sheetProtection/>
  <autoFilter ref="A1:Q68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Copacondori</dc:creator>
  <cp:keywords/>
  <dc:description/>
  <cp:lastModifiedBy>Mario Copacondori</cp:lastModifiedBy>
  <dcterms:modified xsi:type="dcterms:W3CDTF">2014-06-17T13:47:15Z</dcterms:modified>
  <cp:category/>
  <cp:version/>
  <cp:contentType/>
  <cp:contentStatus/>
</cp:coreProperties>
</file>