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1402_CORTES_URCOS" sheetId="1" r:id="rId1"/>
  </sheets>
  <calcPr calcId="0"/>
</workbook>
</file>

<file path=xl/calcChain.xml><?xml version="1.0" encoding="utf-8"?>
<calcChain xmlns="http://schemas.openxmlformats.org/spreadsheetml/2006/main">
  <c r="D2" i="1" l="1"/>
  <c r="E2" i="1"/>
  <c r="F2" i="1"/>
  <c r="J2" i="1"/>
  <c r="M2" i="1"/>
  <c r="O2" i="1"/>
  <c r="D3" i="1"/>
  <c r="E3" i="1"/>
  <c r="F3" i="1"/>
  <c r="J3" i="1"/>
  <c r="M3" i="1"/>
  <c r="O3" i="1"/>
  <c r="D4" i="1"/>
  <c r="E4" i="1"/>
  <c r="F4" i="1"/>
  <c r="J4" i="1"/>
  <c r="M4" i="1"/>
  <c r="O4" i="1"/>
  <c r="D5" i="1"/>
  <c r="E5" i="1"/>
  <c r="F5" i="1"/>
  <c r="J5" i="1"/>
  <c r="M5" i="1"/>
  <c r="O5" i="1"/>
  <c r="D6" i="1"/>
  <c r="E6" i="1"/>
  <c r="F6" i="1"/>
  <c r="J6" i="1"/>
  <c r="M6" i="1"/>
  <c r="O6" i="1"/>
  <c r="D7" i="1"/>
  <c r="E7" i="1"/>
  <c r="F7" i="1"/>
  <c r="J7" i="1"/>
  <c r="M7" i="1"/>
  <c r="O7" i="1"/>
  <c r="D8" i="1"/>
  <c r="E8" i="1"/>
  <c r="F8" i="1"/>
  <c r="J8" i="1"/>
  <c r="M8" i="1"/>
  <c r="O8" i="1"/>
  <c r="D9" i="1"/>
  <c r="E9" i="1"/>
  <c r="F9" i="1"/>
  <c r="J9" i="1"/>
  <c r="M9" i="1"/>
  <c r="O9" i="1"/>
  <c r="D10" i="1"/>
  <c r="E10" i="1"/>
  <c r="F10" i="1"/>
  <c r="J10" i="1"/>
  <c r="M10" i="1"/>
  <c r="O10" i="1"/>
  <c r="D11" i="1"/>
  <c r="E11" i="1"/>
  <c r="F11" i="1"/>
  <c r="J11" i="1"/>
  <c r="M11" i="1"/>
  <c r="O11" i="1"/>
  <c r="D12" i="1"/>
  <c r="E12" i="1"/>
  <c r="F12" i="1"/>
  <c r="J12" i="1"/>
  <c r="M12" i="1"/>
  <c r="O12" i="1"/>
  <c r="D13" i="1"/>
  <c r="E13" i="1"/>
  <c r="F13" i="1"/>
  <c r="J13" i="1"/>
  <c r="M13" i="1"/>
  <c r="O13" i="1"/>
  <c r="D14" i="1"/>
  <c r="E14" i="1"/>
  <c r="F14" i="1"/>
  <c r="J14" i="1"/>
  <c r="M14" i="1"/>
  <c r="O14" i="1"/>
  <c r="D15" i="1"/>
  <c r="E15" i="1"/>
  <c r="F15" i="1"/>
  <c r="J15" i="1"/>
  <c r="M15" i="1"/>
  <c r="O15" i="1"/>
  <c r="D16" i="1"/>
  <c r="E16" i="1"/>
  <c r="F16" i="1"/>
  <c r="J16" i="1"/>
  <c r="M16" i="1"/>
  <c r="O16" i="1"/>
  <c r="D17" i="1"/>
  <c r="E17" i="1"/>
  <c r="F17" i="1"/>
  <c r="J17" i="1"/>
  <c r="M17" i="1"/>
  <c r="O17" i="1"/>
  <c r="D18" i="1"/>
  <c r="E18" i="1"/>
  <c r="F18" i="1"/>
  <c r="J18" i="1"/>
  <c r="M18" i="1"/>
  <c r="O18" i="1"/>
  <c r="D19" i="1"/>
  <c r="E19" i="1"/>
  <c r="F19" i="1"/>
  <c r="J19" i="1"/>
  <c r="M19" i="1"/>
  <c r="O19" i="1"/>
  <c r="D20" i="1"/>
  <c r="E20" i="1"/>
  <c r="F20" i="1"/>
  <c r="J20" i="1"/>
  <c r="M20" i="1"/>
  <c r="O20" i="1"/>
  <c r="D21" i="1"/>
  <c r="E21" i="1"/>
  <c r="F21" i="1"/>
  <c r="J21" i="1"/>
  <c r="M21" i="1"/>
  <c r="O21" i="1"/>
  <c r="D22" i="1"/>
  <c r="E22" i="1"/>
  <c r="F22" i="1"/>
  <c r="J22" i="1"/>
  <c r="M22" i="1"/>
  <c r="O22" i="1"/>
  <c r="D23" i="1"/>
  <c r="E23" i="1"/>
  <c r="F23" i="1"/>
  <c r="J23" i="1"/>
  <c r="M23" i="1"/>
  <c r="O23" i="1"/>
  <c r="D24" i="1"/>
  <c r="E24" i="1"/>
  <c r="F24" i="1"/>
  <c r="J24" i="1"/>
  <c r="M24" i="1"/>
  <c r="O24" i="1"/>
  <c r="D25" i="1"/>
  <c r="E25" i="1"/>
  <c r="F25" i="1"/>
  <c r="J25" i="1"/>
  <c r="M25" i="1"/>
  <c r="O25" i="1"/>
  <c r="D26" i="1"/>
  <c r="E26" i="1"/>
  <c r="F26" i="1"/>
  <c r="J26" i="1"/>
  <c r="M26" i="1"/>
  <c r="O26" i="1"/>
  <c r="D27" i="1"/>
  <c r="E27" i="1"/>
  <c r="F27" i="1"/>
  <c r="J27" i="1"/>
  <c r="M27" i="1"/>
  <c r="O27" i="1"/>
  <c r="D28" i="1"/>
  <c r="E28" i="1"/>
  <c r="F28" i="1"/>
  <c r="J28" i="1"/>
  <c r="M28" i="1"/>
  <c r="O28" i="1"/>
  <c r="D29" i="1"/>
  <c r="E29" i="1"/>
  <c r="F29" i="1"/>
  <c r="J29" i="1"/>
  <c r="M29" i="1"/>
  <c r="O29" i="1"/>
  <c r="D30" i="1"/>
  <c r="E30" i="1"/>
  <c r="F30" i="1"/>
  <c r="J30" i="1"/>
  <c r="M30" i="1"/>
  <c r="O30" i="1"/>
  <c r="D31" i="1"/>
  <c r="E31" i="1"/>
  <c r="F31" i="1"/>
  <c r="J31" i="1"/>
  <c r="M31" i="1"/>
  <c r="O31" i="1"/>
  <c r="D32" i="1"/>
  <c r="E32" i="1"/>
  <c r="F32" i="1"/>
  <c r="J32" i="1"/>
  <c r="M32" i="1"/>
  <c r="O32" i="1"/>
  <c r="D33" i="1"/>
  <c r="E33" i="1"/>
  <c r="F33" i="1"/>
  <c r="J33" i="1"/>
  <c r="M33" i="1"/>
  <c r="O33" i="1"/>
  <c r="D34" i="1"/>
  <c r="E34" i="1"/>
  <c r="F34" i="1"/>
  <c r="J34" i="1"/>
  <c r="M34" i="1"/>
  <c r="O34" i="1"/>
  <c r="D35" i="1"/>
  <c r="E35" i="1"/>
  <c r="F35" i="1"/>
  <c r="J35" i="1"/>
  <c r="M35" i="1"/>
  <c r="O35" i="1"/>
  <c r="D36" i="1"/>
  <c r="E36" i="1"/>
  <c r="F36" i="1"/>
  <c r="J36" i="1"/>
  <c r="M36" i="1"/>
  <c r="O36" i="1"/>
  <c r="D37" i="1"/>
  <c r="E37" i="1"/>
  <c r="F37" i="1"/>
  <c r="J37" i="1"/>
  <c r="M37" i="1"/>
  <c r="O37" i="1"/>
  <c r="D38" i="1"/>
  <c r="E38" i="1"/>
  <c r="F38" i="1"/>
  <c r="J38" i="1"/>
  <c r="M38" i="1"/>
  <c r="O38" i="1"/>
  <c r="D39" i="1"/>
  <c r="E39" i="1"/>
  <c r="F39" i="1"/>
  <c r="J39" i="1"/>
  <c r="M39" i="1"/>
  <c r="O39" i="1"/>
  <c r="D40" i="1"/>
  <c r="E40" i="1"/>
  <c r="F40" i="1"/>
  <c r="J40" i="1"/>
  <c r="M40" i="1"/>
  <c r="O40" i="1"/>
  <c r="D41" i="1"/>
  <c r="E41" i="1"/>
  <c r="F41" i="1"/>
  <c r="J41" i="1"/>
  <c r="M41" i="1"/>
  <c r="O41" i="1"/>
  <c r="D42" i="1"/>
  <c r="E42" i="1"/>
  <c r="F42" i="1"/>
  <c r="J42" i="1"/>
  <c r="M42" i="1"/>
  <c r="O42" i="1"/>
  <c r="D43" i="1"/>
  <c r="E43" i="1"/>
  <c r="F43" i="1"/>
  <c r="J43" i="1"/>
  <c r="M43" i="1"/>
  <c r="O43" i="1"/>
  <c r="D44" i="1"/>
  <c r="E44" i="1"/>
  <c r="F44" i="1"/>
  <c r="J44" i="1"/>
  <c r="M44" i="1"/>
  <c r="O44" i="1"/>
  <c r="D45" i="1"/>
  <c r="E45" i="1"/>
  <c r="F45" i="1"/>
  <c r="J45" i="1"/>
  <c r="M45" i="1"/>
  <c r="O45" i="1"/>
  <c r="D46" i="1"/>
  <c r="E46" i="1"/>
  <c r="F46" i="1"/>
  <c r="J46" i="1"/>
  <c r="M46" i="1"/>
  <c r="O46" i="1"/>
  <c r="D47" i="1"/>
  <c r="E47" i="1"/>
  <c r="F47" i="1"/>
  <c r="J47" i="1"/>
  <c r="M47" i="1"/>
  <c r="O47" i="1"/>
  <c r="D48" i="1"/>
  <c r="E48" i="1"/>
  <c r="F48" i="1"/>
  <c r="J48" i="1"/>
  <c r="M48" i="1"/>
  <c r="O48" i="1"/>
  <c r="D49" i="1"/>
  <c r="E49" i="1"/>
  <c r="F49" i="1"/>
  <c r="J49" i="1"/>
  <c r="M49" i="1"/>
  <c r="O49" i="1"/>
  <c r="D50" i="1"/>
  <c r="E50" i="1"/>
  <c r="F50" i="1"/>
  <c r="I50" i="1"/>
  <c r="J50" i="1"/>
  <c r="M50" i="1"/>
  <c r="O50" i="1"/>
  <c r="D51" i="1"/>
  <c r="E51" i="1"/>
  <c r="F51" i="1"/>
  <c r="I51" i="1"/>
  <c r="J51" i="1"/>
  <c r="M51" i="1"/>
  <c r="O51" i="1"/>
  <c r="D52" i="1"/>
  <c r="E52" i="1"/>
  <c r="F52" i="1"/>
  <c r="J52" i="1"/>
  <c r="M52" i="1"/>
  <c r="O52" i="1"/>
  <c r="D53" i="1"/>
  <c r="E53" i="1"/>
  <c r="F53" i="1"/>
  <c r="J53" i="1"/>
  <c r="M53" i="1"/>
  <c r="O53" i="1"/>
  <c r="D54" i="1"/>
  <c r="E54" i="1"/>
  <c r="F54" i="1"/>
  <c r="J54" i="1"/>
  <c r="M54" i="1"/>
  <c r="O54" i="1"/>
  <c r="D55" i="1"/>
  <c r="E55" i="1"/>
  <c r="F55" i="1"/>
  <c r="J55" i="1"/>
  <c r="M55" i="1"/>
  <c r="O55" i="1"/>
  <c r="D56" i="1"/>
  <c r="E56" i="1"/>
  <c r="F56" i="1"/>
  <c r="J56" i="1"/>
  <c r="M56" i="1"/>
  <c r="O56" i="1"/>
  <c r="D57" i="1"/>
  <c r="E57" i="1"/>
  <c r="F57" i="1"/>
  <c r="J57" i="1"/>
  <c r="M57" i="1"/>
  <c r="O57" i="1"/>
  <c r="D58" i="1"/>
  <c r="E58" i="1"/>
  <c r="F58" i="1"/>
  <c r="J58" i="1"/>
  <c r="M58" i="1"/>
  <c r="O58" i="1"/>
  <c r="D59" i="1"/>
  <c r="E59" i="1"/>
  <c r="F59" i="1"/>
  <c r="J59" i="1"/>
  <c r="M59" i="1"/>
  <c r="O59" i="1"/>
  <c r="D60" i="1"/>
  <c r="E60" i="1"/>
  <c r="F60" i="1"/>
  <c r="J60" i="1"/>
  <c r="M60" i="1"/>
  <c r="O60" i="1"/>
  <c r="D61" i="1"/>
  <c r="E61" i="1"/>
  <c r="F61" i="1"/>
  <c r="J61" i="1"/>
  <c r="M61" i="1"/>
  <c r="O61" i="1"/>
  <c r="D62" i="1"/>
  <c r="E62" i="1"/>
  <c r="F62" i="1"/>
  <c r="J62" i="1"/>
  <c r="M62" i="1"/>
  <c r="O62" i="1"/>
  <c r="D63" i="1"/>
  <c r="E63" i="1"/>
  <c r="F63" i="1"/>
  <c r="J63" i="1"/>
  <c r="M63" i="1"/>
  <c r="O63" i="1"/>
  <c r="D64" i="1"/>
  <c r="E64" i="1"/>
  <c r="F64" i="1"/>
  <c r="J64" i="1"/>
  <c r="M64" i="1"/>
  <c r="O64" i="1"/>
  <c r="D65" i="1"/>
  <c r="E65" i="1"/>
  <c r="F65" i="1"/>
  <c r="J65" i="1"/>
  <c r="M65" i="1"/>
  <c r="O65" i="1"/>
  <c r="D66" i="1"/>
  <c r="E66" i="1"/>
  <c r="F66" i="1"/>
  <c r="J66" i="1"/>
  <c r="M66" i="1"/>
  <c r="O66" i="1"/>
  <c r="D67" i="1"/>
  <c r="E67" i="1"/>
  <c r="F67" i="1"/>
  <c r="J67" i="1"/>
  <c r="M67" i="1"/>
  <c r="O67" i="1"/>
  <c r="D68" i="1"/>
  <c r="E68" i="1"/>
  <c r="F68" i="1"/>
  <c r="J68" i="1"/>
  <c r="M68" i="1"/>
  <c r="O68" i="1"/>
  <c r="D69" i="1"/>
  <c r="E69" i="1"/>
  <c r="F69" i="1"/>
  <c r="J69" i="1"/>
  <c r="M69" i="1"/>
  <c r="O69" i="1"/>
  <c r="D70" i="1"/>
  <c r="E70" i="1"/>
  <c r="F70" i="1"/>
  <c r="J70" i="1"/>
  <c r="M70" i="1"/>
  <c r="O70" i="1"/>
  <c r="D71" i="1"/>
  <c r="E71" i="1"/>
  <c r="F71" i="1"/>
  <c r="J71" i="1"/>
  <c r="M71" i="1"/>
  <c r="O71" i="1"/>
  <c r="D72" i="1"/>
  <c r="E72" i="1"/>
  <c r="F72" i="1"/>
  <c r="J72" i="1"/>
  <c r="M72" i="1"/>
  <c r="O72" i="1"/>
  <c r="D73" i="1"/>
  <c r="E73" i="1"/>
  <c r="F73" i="1"/>
  <c r="J73" i="1"/>
  <c r="M73" i="1"/>
  <c r="O73" i="1"/>
  <c r="D74" i="1"/>
  <c r="E74" i="1"/>
  <c r="F74" i="1"/>
  <c r="J74" i="1"/>
  <c r="M74" i="1"/>
  <c r="O74" i="1"/>
  <c r="D75" i="1"/>
  <c r="E75" i="1"/>
  <c r="F75" i="1"/>
  <c r="J75" i="1"/>
  <c r="M75" i="1"/>
  <c r="O75" i="1"/>
  <c r="D76" i="1"/>
  <c r="E76" i="1"/>
  <c r="F76" i="1"/>
  <c r="J76" i="1"/>
  <c r="M76" i="1"/>
  <c r="O76" i="1"/>
  <c r="D77" i="1"/>
  <c r="E77" i="1"/>
  <c r="F77" i="1"/>
  <c r="J77" i="1"/>
  <c r="M77" i="1"/>
  <c r="O77" i="1"/>
  <c r="D78" i="1"/>
  <c r="E78" i="1"/>
  <c r="F78" i="1"/>
  <c r="J78" i="1"/>
  <c r="M78" i="1"/>
  <c r="O78" i="1"/>
  <c r="D79" i="1"/>
  <c r="E79" i="1"/>
  <c r="F79" i="1"/>
  <c r="J79" i="1"/>
  <c r="M79" i="1"/>
  <c r="O79" i="1"/>
  <c r="D80" i="1"/>
  <c r="E80" i="1"/>
  <c r="F80" i="1"/>
  <c r="J80" i="1"/>
  <c r="M80" i="1"/>
  <c r="O80" i="1"/>
  <c r="D81" i="1"/>
  <c r="E81" i="1"/>
  <c r="F81" i="1"/>
  <c r="J81" i="1"/>
  <c r="M81" i="1"/>
  <c r="O81" i="1"/>
  <c r="D82" i="1"/>
  <c r="E82" i="1"/>
  <c r="F82" i="1"/>
  <c r="J82" i="1"/>
  <c r="M82" i="1"/>
  <c r="O82" i="1"/>
  <c r="D83" i="1"/>
  <c r="E83" i="1"/>
  <c r="F83" i="1"/>
  <c r="J83" i="1"/>
  <c r="M83" i="1"/>
  <c r="O83" i="1"/>
  <c r="D84" i="1"/>
  <c r="E84" i="1"/>
  <c r="F84" i="1"/>
  <c r="J84" i="1"/>
  <c r="M84" i="1"/>
  <c r="O84" i="1"/>
  <c r="D85" i="1"/>
  <c r="E85" i="1"/>
  <c r="F85" i="1"/>
  <c r="J85" i="1"/>
  <c r="M85" i="1"/>
  <c r="O85" i="1"/>
  <c r="D86" i="1"/>
  <c r="E86" i="1"/>
  <c r="F86" i="1"/>
  <c r="J86" i="1"/>
  <c r="M86" i="1"/>
  <c r="O86" i="1"/>
  <c r="D87" i="1"/>
  <c r="E87" i="1"/>
  <c r="F87" i="1"/>
  <c r="J87" i="1"/>
  <c r="M87" i="1"/>
  <c r="O87" i="1"/>
  <c r="D88" i="1"/>
  <c r="E88" i="1"/>
  <c r="F88" i="1"/>
  <c r="J88" i="1"/>
  <c r="M88" i="1"/>
  <c r="O88" i="1"/>
  <c r="D89" i="1"/>
  <c r="E89" i="1"/>
  <c r="F89" i="1"/>
  <c r="J89" i="1"/>
  <c r="M89" i="1"/>
  <c r="O89" i="1"/>
  <c r="D90" i="1"/>
  <c r="E90" i="1"/>
  <c r="F90" i="1"/>
  <c r="J90" i="1"/>
  <c r="M90" i="1"/>
  <c r="O90" i="1"/>
  <c r="D91" i="1"/>
  <c r="E91" i="1"/>
  <c r="F91" i="1"/>
  <c r="J91" i="1"/>
  <c r="M91" i="1"/>
  <c r="O91" i="1"/>
  <c r="D92" i="1"/>
  <c r="E92" i="1"/>
  <c r="F92" i="1"/>
  <c r="J92" i="1"/>
  <c r="M92" i="1"/>
  <c r="O92" i="1"/>
  <c r="D93" i="1"/>
  <c r="E93" i="1"/>
  <c r="F93" i="1"/>
  <c r="J93" i="1"/>
  <c r="M93" i="1"/>
  <c r="O93" i="1"/>
  <c r="D94" i="1"/>
  <c r="E94" i="1"/>
  <c r="F94" i="1"/>
  <c r="J94" i="1"/>
  <c r="M94" i="1"/>
  <c r="O94" i="1"/>
  <c r="D95" i="1"/>
  <c r="E95" i="1"/>
  <c r="F95" i="1"/>
  <c r="J95" i="1"/>
  <c r="M95" i="1"/>
  <c r="O95" i="1"/>
  <c r="D96" i="1"/>
  <c r="E96" i="1"/>
  <c r="F96" i="1"/>
  <c r="J96" i="1"/>
  <c r="M96" i="1"/>
  <c r="O96" i="1"/>
  <c r="D97" i="1"/>
  <c r="E97" i="1"/>
  <c r="F97" i="1"/>
  <c r="J97" i="1"/>
  <c r="M97" i="1"/>
  <c r="O97" i="1"/>
  <c r="D98" i="1"/>
  <c r="E98" i="1"/>
  <c r="F98" i="1"/>
  <c r="J98" i="1"/>
  <c r="M98" i="1"/>
  <c r="O98" i="1"/>
  <c r="D99" i="1"/>
  <c r="E99" i="1"/>
  <c r="F99" i="1"/>
  <c r="J99" i="1"/>
  <c r="M99" i="1"/>
  <c r="O99" i="1"/>
  <c r="D100" i="1"/>
  <c r="E100" i="1"/>
  <c r="F100" i="1"/>
  <c r="J100" i="1"/>
  <c r="M100" i="1"/>
  <c r="O100" i="1"/>
  <c r="D101" i="1"/>
  <c r="E101" i="1"/>
  <c r="F101" i="1"/>
  <c r="J101" i="1"/>
  <c r="M101" i="1"/>
  <c r="O101" i="1"/>
  <c r="D102" i="1"/>
  <c r="E102" i="1"/>
  <c r="F102" i="1"/>
  <c r="J102" i="1"/>
  <c r="M102" i="1"/>
  <c r="O102" i="1"/>
  <c r="D103" i="1"/>
  <c r="E103" i="1"/>
  <c r="F103" i="1"/>
  <c r="J103" i="1"/>
  <c r="M103" i="1"/>
  <c r="O103" i="1"/>
  <c r="D104" i="1"/>
  <c r="E104" i="1"/>
  <c r="F104" i="1"/>
  <c r="J104" i="1"/>
  <c r="M104" i="1"/>
  <c r="O104" i="1"/>
  <c r="D105" i="1"/>
  <c r="E105" i="1"/>
  <c r="F105" i="1"/>
  <c r="J105" i="1"/>
  <c r="M105" i="1"/>
  <c r="O105" i="1"/>
  <c r="D106" i="1"/>
  <c r="E106" i="1"/>
  <c r="F106" i="1"/>
  <c r="J106" i="1"/>
  <c r="M106" i="1"/>
  <c r="O106" i="1"/>
  <c r="D107" i="1"/>
  <c r="E107" i="1"/>
  <c r="F107" i="1"/>
  <c r="J107" i="1"/>
  <c r="M107" i="1"/>
  <c r="O107" i="1"/>
  <c r="D108" i="1"/>
  <c r="E108" i="1"/>
  <c r="F108" i="1"/>
  <c r="J108" i="1"/>
  <c r="M108" i="1"/>
  <c r="O108" i="1"/>
  <c r="D109" i="1"/>
  <c r="E109" i="1"/>
  <c r="F109" i="1"/>
  <c r="J109" i="1"/>
  <c r="M109" i="1"/>
  <c r="O109" i="1"/>
  <c r="D110" i="1"/>
  <c r="E110" i="1"/>
  <c r="F110" i="1"/>
  <c r="J110" i="1"/>
  <c r="M110" i="1"/>
  <c r="O110" i="1"/>
  <c r="D111" i="1"/>
  <c r="E111" i="1"/>
  <c r="F111" i="1"/>
  <c r="J111" i="1"/>
  <c r="M111" i="1"/>
  <c r="O111" i="1"/>
  <c r="D112" i="1"/>
  <c r="E112" i="1"/>
  <c r="F112" i="1"/>
  <c r="J112" i="1"/>
  <c r="M112" i="1"/>
  <c r="O112" i="1"/>
  <c r="D113" i="1"/>
  <c r="E113" i="1"/>
  <c r="F113" i="1"/>
  <c r="J113" i="1"/>
  <c r="M113" i="1"/>
  <c r="O113" i="1"/>
  <c r="D114" i="1"/>
  <c r="E114" i="1"/>
  <c r="F114" i="1"/>
  <c r="J114" i="1"/>
  <c r="M114" i="1"/>
  <c r="O114" i="1"/>
  <c r="D115" i="1"/>
  <c r="E115" i="1"/>
  <c r="F115" i="1"/>
  <c r="J115" i="1"/>
  <c r="M115" i="1"/>
  <c r="O115" i="1"/>
  <c r="D116" i="1"/>
  <c r="E116" i="1"/>
  <c r="F116" i="1"/>
  <c r="J116" i="1"/>
  <c r="M116" i="1"/>
  <c r="O116" i="1"/>
  <c r="D117" i="1"/>
  <c r="E117" i="1"/>
  <c r="F117" i="1"/>
  <c r="J117" i="1"/>
  <c r="M117" i="1"/>
  <c r="O117" i="1"/>
  <c r="D118" i="1"/>
  <c r="E118" i="1"/>
  <c r="F118" i="1"/>
  <c r="J118" i="1"/>
  <c r="M118" i="1"/>
  <c r="O118" i="1"/>
  <c r="D119" i="1"/>
  <c r="E119" i="1"/>
  <c r="F119" i="1"/>
  <c r="J119" i="1"/>
  <c r="M119" i="1"/>
  <c r="O119" i="1"/>
  <c r="D120" i="1"/>
  <c r="E120" i="1"/>
  <c r="F120" i="1"/>
  <c r="J120" i="1"/>
  <c r="M120" i="1"/>
  <c r="O120" i="1"/>
  <c r="D121" i="1"/>
  <c r="E121" i="1"/>
  <c r="F121" i="1"/>
  <c r="J121" i="1"/>
  <c r="M121" i="1"/>
  <c r="O121" i="1"/>
  <c r="D122" i="1"/>
  <c r="E122" i="1"/>
  <c r="F122" i="1"/>
  <c r="J122" i="1"/>
  <c r="M122" i="1"/>
  <c r="O122" i="1"/>
  <c r="D123" i="1"/>
  <c r="E123" i="1"/>
  <c r="F123" i="1"/>
  <c r="J123" i="1"/>
  <c r="M123" i="1"/>
  <c r="O123" i="1"/>
  <c r="D124" i="1"/>
  <c r="E124" i="1"/>
  <c r="F124" i="1"/>
  <c r="J124" i="1"/>
  <c r="M124" i="1"/>
  <c r="O124" i="1"/>
  <c r="D125" i="1"/>
  <c r="E125" i="1"/>
  <c r="F125" i="1"/>
  <c r="J125" i="1"/>
  <c r="M125" i="1"/>
  <c r="O125" i="1"/>
  <c r="D126" i="1"/>
  <c r="E126" i="1"/>
  <c r="F126" i="1"/>
  <c r="J126" i="1"/>
  <c r="M126" i="1"/>
  <c r="O126" i="1"/>
  <c r="D127" i="1"/>
  <c r="E127" i="1"/>
  <c r="F127" i="1"/>
  <c r="J127" i="1"/>
  <c r="M127" i="1"/>
  <c r="O127" i="1"/>
  <c r="D128" i="1"/>
  <c r="E128" i="1"/>
  <c r="F128" i="1"/>
  <c r="J128" i="1"/>
  <c r="M128" i="1"/>
  <c r="O128" i="1"/>
  <c r="D129" i="1"/>
  <c r="E129" i="1"/>
  <c r="F129" i="1"/>
  <c r="J129" i="1"/>
  <c r="M129" i="1"/>
  <c r="O129" i="1"/>
  <c r="D130" i="1"/>
  <c r="E130" i="1"/>
  <c r="F130" i="1"/>
  <c r="J130" i="1"/>
  <c r="M130" i="1"/>
  <c r="O130" i="1"/>
  <c r="D131" i="1"/>
  <c r="E131" i="1"/>
  <c r="F131" i="1"/>
  <c r="J131" i="1"/>
  <c r="M131" i="1"/>
  <c r="O131" i="1"/>
  <c r="D132" i="1"/>
  <c r="E132" i="1"/>
  <c r="F132" i="1"/>
  <c r="J132" i="1"/>
  <c r="M132" i="1"/>
  <c r="O132" i="1"/>
  <c r="D133" i="1"/>
  <c r="E133" i="1"/>
  <c r="F133" i="1"/>
  <c r="J133" i="1"/>
  <c r="M133" i="1"/>
  <c r="O133" i="1"/>
  <c r="D134" i="1"/>
  <c r="E134" i="1"/>
  <c r="F134" i="1"/>
  <c r="J134" i="1"/>
  <c r="M134" i="1"/>
  <c r="O134" i="1"/>
  <c r="D135" i="1"/>
  <c r="E135" i="1"/>
  <c r="F135" i="1"/>
  <c r="J135" i="1"/>
  <c r="M135" i="1"/>
  <c r="O135" i="1"/>
  <c r="D136" i="1"/>
  <c r="E136" i="1"/>
  <c r="F136" i="1"/>
  <c r="J136" i="1"/>
  <c r="M136" i="1"/>
  <c r="O136" i="1"/>
  <c r="D137" i="1"/>
  <c r="E137" i="1"/>
  <c r="F137" i="1"/>
  <c r="J137" i="1"/>
  <c r="M137" i="1"/>
  <c r="O137" i="1"/>
  <c r="D138" i="1"/>
  <c r="E138" i="1"/>
  <c r="F138" i="1"/>
  <c r="J138" i="1"/>
  <c r="M138" i="1"/>
  <c r="O138" i="1"/>
  <c r="D139" i="1"/>
  <c r="E139" i="1"/>
  <c r="F139" i="1"/>
  <c r="J139" i="1"/>
  <c r="M139" i="1"/>
  <c r="O139" i="1"/>
  <c r="D140" i="1"/>
  <c r="E140" i="1"/>
  <c r="F140" i="1"/>
  <c r="J140" i="1"/>
  <c r="M140" i="1"/>
  <c r="O140" i="1"/>
  <c r="D141" i="1"/>
  <c r="E141" i="1"/>
  <c r="F141" i="1"/>
  <c r="J141" i="1"/>
  <c r="M141" i="1"/>
  <c r="O141" i="1"/>
  <c r="D142" i="1"/>
  <c r="E142" i="1"/>
  <c r="F142" i="1"/>
  <c r="J142" i="1"/>
  <c r="M142" i="1"/>
  <c r="O142" i="1"/>
  <c r="D143" i="1"/>
  <c r="E143" i="1"/>
  <c r="F143" i="1"/>
  <c r="J143" i="1"/>
  <c r="M143" i="1"/>
  <c r="O143" i="1"/>
  <c r="D144" i="1"/>
  <c r="E144" i="1"/>
  <c r="F144" i="1"/>
  <c r="J144" i="1"/>
  <c r="M144" i="1"/>
  <c r="O144" i="1"/>
  <c r="D145" i="1"/>
  <c r="E145" i="1"/>
  <c r="F145" i="1"/>
  <c r="J145" i="1"/>
  <c r="M145" i="1"/>
  <c r="O145" i="1"/>
  <c r="D146" i="1"/>
  <c r="E146" i="1"/>
  <c r="F146" i="1"/>
  <c r="J146" i="1"/>
  <c r="M146" i="1"/>
  <c r="O146" i="1"/>
  <c r="D147" i="1"/>
  <c r="E147" i="1"/>
  <c r="F147" i="1"/>
  <c r="J147" i="1"/>
  <c r="M147" i="1"/>
  <c r="O147" i="1"/>
  <c r="D148" i="1"/>
  <c r="E148" i="1"/>
  <c r="F148" i="1"/>
  <c r="J148" i="1"/>
  <c r="M148" i="1"/>
  <c r="O148" i="1"/>
  <c r="D149" i="1"/>
  <c r="E149" i="1"/>
  <c r="F149" i="1"/>
  <c r="J149" i="1"/>
  <c r="M149" i="1"/>
  <c r="O149" i="1"/>
  <c r="D150" i="1"/>
  <c r="E150" i="1"/>
  <c r="F150" i="1"/>
  <c r="J150" i="1"/>
  <c r="M150" i="1"/>
  <c r="O150" i="1"/>
  <c r="D151" i="1"/>
  <c r="E151" i="1"/>
  <c r="F151" i="1"/>
  <c r="J151" i="1"/>
  <c r="M151" i="1"/>
  <c r="O151" i="1"/>
  <c r="D152" i="1"/>
  <c r="E152" i="1"/>
  <c r="F152" i="1"/>
  <c r="J152" i="1"/>
  <c r="M152" i="1"/>
  <c r="O152" i="1"/>
  <c r="D153" i="1"/>
  <c r="E153" i="1"/>
  <c r="F153" i="1"/>
  <c r="J153" i="1"/>
  <c r="M153" i="1"/>
  <c r="O153" i="1"/>
  <c r="D154" i="1"/>
  <c r="E154" i="1"/>
  <c r="F154" i="1"/>
  <c r="J154" i="1"/>
  <c r="M154" i="1"/>
  <c r="O154" i="1"/>
  <c r="D155" i="1"/>
  <c r="E155" i="1"/>
  <c r="F155" i="1"/>
  <c r="J155" i="1"/>
  <c r="M155" i="1"/>
  <c r="O155" i="1"/>
  <c r="D156" i="1"/>
  <c r="E156" i="1"/>
  <c r="F156" i="1"/>
  <c r="J156" i="1"/>
  <c r="M156" i="1"/>
  <c r="O156" i="1"/>
  <c r="D157" i="1"/>
  <c r="E157" i="1"/>
  <c r="F157" i="1"/>
  <c r="J157" i="1"/>
  <c r="M157" i="1"/>
  <c r="O157" i="1"/>
  <c r="D158" i="1"/>
  <c r="E158" i="1"/>
  <c r="F158" i="1"/>
  <c r="J158" i="1"/>
  <c r="M158" i="1"/>
  <c r="O158" i="1"/>
  <c r="D159" i="1"/>
  <c r="E159" i="1"/>
  <c r="F159" i="1"/>
  <c r="J159" i="1"/>
  <c r="M159" i="1"/>
  <c r="O159" i="1"/>
  <c r="D160" i="1"/>
  <c r="E160" i="1"/>
  <c r="F160" i="1"/>
  <c r="J160" i="1"/>
  <c r="M160" i="1"/>
  <c r="O160" i="1"/>
  <c r="D161" i="1"/>
  <c r="E161" i="1"/>
  <c r="F161" i="1"/>
  <c r="J161" i="1"/>
  <c r="M161" i="1"/>
  <c r="O161" i="1"/>
  <c r="D162" i="1"/>
  <c r="E162" i="1"/>
  <c r="F162" i="1"/>
  <c r="J162" i="1"/>
  <c r="M162" i="1"/>
  <c r="O162" i="1"/>
  <c r="D163" i="1"/>
  <c r="E163" i="1"/>
  <c r="F163" i="1"/>
  <c r="J163" i="1"/>
  <c r="M163" i="1"/>
  <c r="O163" i="1"/>
  <c r="D164" i="1"/>
  <c r="E164" i="1"/>
  <c r="F164" i="1"/>
  <c r="J164" i="1"/>
  <c r="M164" i="1"/>
  <c r="O164" i="1"/>
  <c r="D165" i="1"/>
  <c r="E165" i="1"/>
  <c r="F165" i="1"/>
  <c r="J165" i="1"/>
  <c r="M165" i="1"/>
  <c r="O165" i="1"/>
  <c r="D166" i="1"/>
  <c r="E166" i="1"/>
  <c r="F166" i="1"/>
  <c r="J166" i="1"/>
  <c r="M166" i="1"/>
  <c r="O166" i="1"/>
  <c r="D167" i="1"/>
  <c r="E167" i="1"/>
  <c r="F167" i="1"/>
  <c r="J167" i="1"/>
  <c r="M167" i="1"/>
  <c r="O167" i="1"/>
  <c r="D168" i="1"/>
  <c r="E168" i="1"/>
  <c r="F168" i="1"/>
  <c r="J168" i="1"/>
  <c r="M168" i="1"/>
  <c r="O168" i="1"/>
  <c r="D169" i="1"/>
  <c r="E169" i="1"/>
  <c r="F169" i="1"/>
  <c r="J169" i="1"/>
  <c r="M169" i="1"/>
  <c r="O169" i="1"/>
  <c r="D170" i="1"/>
  <c r="E170" i="1"/>
  <c r="F170" i="1"/>
  <c r="J170" i="1"/>
  <c r="M170" i="1"/>
  <c r="O170" i="1"/>
  <c r="D171" i="1"/>
  <c r="E171" i="1"/>
  <c r="F171" i="1"/>
  <c r="J171" i="1"/>
  <c r="M171" i="1"/>
  <c r="O171" i="1"/>
  <c r="D172" i="1"/>
  <c r="E172" i="1"/>
  <c r="F172" i="1"/>
  <c r="J172" i="1"/>
  <c r="M172" i="1"/>
  <c r="O172" i="1"/>
  <c r="D173" i="1"/>
  <c r="E173" i="1"/>
  <c r="F173" i="1"/>
  <c r="J173" i="1"/>
  <c r="M173" i="1"/>
  <c r="O173" i="1"/>
  <c r="D174" i="1"/>
  <c r="E174" i="1"/>
  <c r="F174" i="1"/>
  <c r="J174" i="1"/>
  <c r="M174" i="1"/>
  <c r="O174" i="1"/>
  <c r="D175" i="1"/>
  <c r="E175" i="1"/>
  <c r="F175" i="1"/>
  <c r="J175" i="1"/>
  <c r="M175" i="1"/>
  <c r="O175" i="1"/>
  <c r="D176" i="1"/>
  <c r="E176" i="1"/>
  <c r="F176" i="1"/>
  <c r="J176" i="1"/>
  <c r="M176" i="1"/>
  <c r="O176" i="1"/>
  <c r="D177" i="1"/>
  <c r="E177" i="1"/>
  <c r="F177" i="1"/>
  <c r="J177" i="1"/>
  <c r="M177" i="1"/>
  <c r="O177" i="1"/>
  <c r="D178" i="1"/>
  <c r="E178" i="1"/>
  <c r="F178" i="1"/>
  <c r="J178" i="1"/>
  <c r="M178" i="1"/>
  <c r="O178" i="1"/>
  <c r="D179" i="1"/>
  <c r="E179" i="1"/>
  <c r="F179" i="1"/>
  <c r="J179" i="1"/>
  <c r="M179" i="1"/>
  <c r="O179" i="1"/>
  <c r="D180" i="1"/>
  <c r="E180" i="1"/>
  <c r="F180" i="1"/>
  <c r="J180" i="1"/>
  <c r="M180" i="1"/>
  <c r="O180" i="1"/>
  <c r="D181" i="1"/>
  <c r="E181" i="1"/>
  <c r="F181" i="1"/>
  <c r="J181" i="1"/>
  <c r="M181" i="1"/>
  <c r="O181" i="1"/>
  <c r="D182" i="1"/>
  <c r="E182" i="1"/>
  <c r="F182" i="1"/>
  <c r="J182" i="1"/>
  <c r="M182" i="1"/>
  <c r="O182" i="1"/>
  <c r="D183" i="1"/>
  <c r="E183" i="1"/>
  <c r="F183" i="1"/>
  <c r="J183" i="1"/>
  <c r="M183" i="1"/>
  <c r="O183" i="1"/>
  <c r="D184" i="1"/>
  <c r="E184" i="1"/>
  <c r="F184" i="1"/>
  <c r="J184" i="1"/>
  <c r="M184" i="1"/>
  <c r="O184" i="1"/>
  <c r="D185" i="1"/>
  <c r="E185" i="1"/>
  <c r="F185" i="1"/>
  <c r="J185" i="1"/>
  <c r="M185" i="1"/>
  <c r="O185" i="1"/>
  <c r="D186" i="1"/>
  <c r="E186" i="1"/>
  <c r="F186" i="1"/>
  <c r="J186" i="1"/>
  <c r="M186" i="1"/>
  <c r="O186" i="1"/>
  <c r="D187" i="1"/>
  <c r="E187" i="1"/>
  <c r="F187" i="1"/>
  <c r="J187" i="1"/>
  <c r="M187" i="1"/>
  <c r="O187" i="1"/>
  <c r="D188" i="1"/>
  <c r="E188" i="1"/>
  <c r="F188" i="1"/>
  <c r="J188" i="1"/>
  <c r="M188" i="1"/>
  <c r="O188" i="1"/>
  <c r="D189" i="1"/>
  <c r="E189" i="1"/>
  <c r="F189" i="1"/>
  <c r="J189" i="1"/>
  <c r="M189" i="1"/>
  <c r="O189" i="1"/>
  <c r="D190" i="1"/>
  <c r="E190" i="1"/>
  <c r="F190" i="1"/>
  <c r="J190" i="1"/>
  <c r="M190" i="1"/>
  <c r="O190" i="1"/>
  <c r="D191" i="1"/>
  <c r="E191" i="1"/>
  <c r="F191" i="1"/>
  <c r="J191" i="1"/>
  <c r="M191" i="1"/>
  <c r="O191" i="1"/>
  <c r="D192" i="1"/>
  <c r="E192" i="1"/>
  <c r="F192" i="1"/>
  <c r="J192" i="1"/>
  <c r="M192" i="1"/>
  <c r="O192" i="1"/>
  <c r="D193" i="1"/>
  <c r="E193" i="1"/>
  <c r="F193" i="1"/>
  <c r="J193" i="1"/>
  <c r="M193" i="1"/>
  <c r="O193" i="1"/>
  <c r="D194" i="1"/>
  <c r="E194" i="1"/>
  <c r="F194" i="1"/>
  <c r="J194" i="1"/>
  <c r="M194" i="1"/>
  <c r="O194" i="1"/>
  <c r="D195" i="1"/>
  <c r="E195" i="1"/>
  <c r="F195" i="1"/>
  <c r="J195" i="1"/>
  <c r="M195" i="1"/>
  <c r="O195" i="1"/>
  <c r="D196" i="1"/>
  <c r="E196" i="1"/>
  <c r="F196" i="1"/>
  <c r="J196" i="1"/>
  <c r="M196" i="1"/>
  <c r="O196" i="1"/>
  <c r="D197" i="1"/>
  <c r="E197" i="1"/>
  <c r="F197" i="1"/>
  <c r="J197" i="1"/>
  <c r="M197" i="1"/>
  <c r="O197" i="1"/>
  <c r="D198" i="1"/>
  <c r="E198" i="1"/>
  <c r="F198" i="1"/>
  <c r="J198" i="1"/>
  <c r="M198" i="1"/>
  <c r="O198" i="1"/>
  <c r="D199" i="1"/>
  <c r="E199" i="1"/>
  <c r="F199" i="1"/>
  <c r="J199" i="1"/>
  <c r="M199" i="1"/>
  <c r="O199" i="1"/>
  <c r="D200" i="1"/>
  <c r="E200" i="1"/>
  <c r="F200" i="1"/>
  <c r="J200" i="1"/>
  <c r="M200" i="1"/>
  <c r="O200" i="1"/>
  <c r="D201" i="1"/>
  <c r="E201" i="1"/>
  <c r="F201" i="1"/>
  <c r="J201" i="1"/>
  <c r="M201" i="1"/>
  <c r="O201" i="1"/>
  <c r="D202" i="1"/>
  <c r="E202" i="1"/>
  <c r="F202" i="1"/>
  <c r="J202" i="1"/>
  <c r="M202" i="1"/>
  <c r="O202" i="1"/>
  <c r="D203" i="1"/>
  <c r="E203" i="1"/>
  <c r="F203" i="1"/>
  <c r="J203" i="1"/>
  <c r="M203" i="1"/>
  <c r="O203" i="1"/>
  <c r="D204" i="1"/>
  <c r="E204" i="1"/>
  <c r="F204" i="1"/>
  <c r="J204" i="1"/>
  <c r="M204" i="1"/>
  <c r="O204" i="1"/>
  <c r="D205" i="1"/>
  <c r="E205" i="1"/>
  <c r="F205" i="1"/>
  <c r="J205" i="1"/>
  <c r="M205" i="1"/>
  <c r="O205" i="1"/>
  <c r="D206" i="1"/>
  <c r="E206" i="1"/>
  <c r="F206" i="1"/>
  <c r="J206" i="1"/>
  <c r="M206" i="1"/>
  <c r="O206" i="1"/>
  <c r="D207" i="1"/>
  <c r="E207" i="1"/>
  <c r="F207" i="1"/>
  <c r="J207" i="1"/>
  <c r="M207" i="1"/>
  <c r="O207" i="1"/>
  <c r="D208" i="1"/>
  <c r="E208" i="1"/>
  <c r="F208" i="1"/>
  <c r="J208" i="1"/>
  <c r="M208" i="1"/>
  <c r="O208" i="1"/>
  <c r="D209" i="1"/>
  <c r="E209" i="1"/>
  <c r="F209" i="1"/>
  <c r="J209" i="1"/>
  <c r="M209" i="1"/>
  <c r="O209" i="1"/>
  <c r="D210" i="1"/>
  <c r="E210" i="1"/>
  <c r="F210" i="1"/>
  <c r="J210" i="1"/>
  <c r="M210" i="1"/>
  <c r="O210" i="1"/>
  <c r="D211" i="1"/>
  <c r="E211" i="1"/>
  <c r="F211" i="1"/>
  <c r="J211" i="1"/>
  <c r="M211" i="1"/>
  <c r="O211" i="1"/>
  <c r="D212" i="1"/>
  <c r="E212" i="1"/>
  <c r="F212" i="1"/>
  <c r="J212" i="1"/>
  <c r="M212" i="1"/>
  <c r="O212" i="1"/>
  <c r="D213" i="1"/>
  <c r="E213" i="1"/>
  <c r="F213" i="1"/>
  <c r="J213" i="1"/>
  <c r="M213" i="1"/>
  <c r="O213" i="1"/>
  <c r="D214" i="1"/>
  <c r="E214" i="1"/>
  <c r="F214" i="1"/>
  <c r="J214" i="1"/>
  <c r="M214" i="1"/>
  <c r="O214" i="1"/>
  <c r="D215" i="1"/>
  <c r="E215" i="1"/>
  <c r="F215" i="1"/>
  <c r="J215" i="1"/>
  <c r="M215" i="1"/>
  <c r="O215" i="1"/>
  <c r="D216" i="1"/>
  <c r="E216" i="1"/>
  <c r="F216" i="1"/>
  <c r="J216" i="1"/>
  <c r="M216" i="1"/>
  <c r="O216" i="1"/>
  <c r="D217" i="1"/>
  <c r="E217" i="1"/>
  <c r="F217" i="1"/>
  <c r="J217" i="1"/>
  <c r="M217" i="1"/>
  <c r="O217" i="1"/>
  <c r="D218" i="1"/>
  <c r="E218" i="1"/>
  <c r="F218" i="1"/>
  <c r="J218" i="1"/>
  <c r="M218" i="1"/>
  <c r="O218" i="1"/>
  <c r="D219" i="1"/>
  <c r="E219" i="1"/>
  <c r="F219" i="1"/>
  <c r="J219" i="1"/>
  <c r="M219" i="1"/>
  <c r="O219" i="1"/>
  <c r="D220" i="1"/>
  <c r="E220" i="1"/>
  <c r="F220" i="1"/>
  <c r="J220" i="1"/>
  <c r="M220" i="1"/>
  <c r="O220" i="1"/>
  <c r="D221" i="1"/>
  <c r="E221" i="1"/>
  <c r="F221" i="1"/>
  <c r="J221" i="1"/>
  <c r="M221" i="1"/>
  <c r="O221" i="1"/>
  <c r="D222" i="1"/>
  <c r="E222" i="1"/>
  <c r="F222" i="1"/>
  <c r="J222" i="1"/>
  <c r="M222" i="1"/>
  <c r="O222" i="1"/>
  <c r="D223" i="1"/>
  <c r="E223" i="1"/>
  <c r="F223" i="1"/>
  <c r="J223" i="1"/>
  <c r="M223" i="1"/>
  <c r="O223" i="1"/>
  <c r="D224" i="1"/>
  <c r="E224" i="1"/>
  <c r="F224" i="1"/>
  <c r="J224" i="1"/>
  <c r="M224" i="1"/>
  <c r="O224" i="1"/>
  <c r="D225" i="1"/>
  <c r="E225" i="1"/>
  <c r="F225" i="1"/>
  <c r="J225" i="1"/>
  <c r="M225" i="1"/>
  <c r="O225" i="1"/>
  <c r="D226" i="1"/>
  <c r="E226" i="1"/>
  <c r="F226" i="1"/>
  <c r="J226" i="1"/>
  <c r="M226" i="1"/>
  <c r="O226" i="1"/>
  <c r="D227" i="1"/>
  <c r="E227" i="1"/>
  <c r="F227" i="1"/>
  <c r="J227" i="1"/>
  <c r="M227" i="1"/>
  <c r="O227" i="1"/>
  <c r="D228" i="1"/>
  <c r="E228" i="1"/>
  <c r="F228" i="1"/>
  <c r="J228" i="1"/>
  <c r="M228" i="1"/>
  <c r="O228" i="1"/>
  <c r="D229" i="1"/>
  <c r="E229" i="1"/>
  <c r="F229" i="1"/>
  <c r="J229" i="1"/>
  <c r="M229" i="1"/>
  <c r="O229" i="1"/>
  <c r="D230" i="1"/>
  <c r="E230" i="1"/>
  <c r="F230" i="1"/>
  <c r="J230" i="1"/>
  <c r="M230" i="1"/>
  <c r="O230" i="1"/>
  <c r="D231" i="1"/>
  <c r="E231" i="1"/>
  <c r="F231" i="1"/>
  <c r="J231" i="1"/>
  <c r="M231" i="1"/>
  <c r="O231" i="1"/>
  <c r="D232" i="1"/>
  <c r="E232" i="1"/>
  <c r="F232" i="1"/>
  <c r="J232" i="1"/>
  <c r="M232" i="1"/>
  <c r="O232" i="1"/>
  <c r="D233" i="1"/>
  <c r="E233" i="1"/>
  <c r="F233" i="1"/>
  <c r="J233" i="1"/>
  <c r="M233" i="1"/>
  <c r="O233" i="1"/>
  <c r="D234" i="1"/>
  <c r="E234" i="1"/>
  <c r="F234" i="1"/>
  <c r="J234" i="1"/>
  <c r="M234" i="1"/>
  <c r="O234" i="1"/>
  <c r="D235" i="1"/>
  <c r="E235" i="1"/>
  <c r="F235" i="1"/>
  <c r="J235" i="1"/>
  <c r="M235" i="1"/>
  <c r="O235" i="1"/>
  <c r="D236" i="1"/>
  <c r="E236" i="1"/>
  <c r="F236" i="1"/>
  <c r="J236" i="1"/>
  <c r="M236" i="1"/>
  <c r="O236" i="1"/>
  <c r="D237" i="1"/>
  <c r="E237" i="1"/>
  <c r="F237" i="1"/>
  <c r="J237" i="1"/>
  <c r="M237" i="1"/>
  <c r="O237" i="1"/>
  <c r="D238" i="1"/>
  <c r="E238" i="1"/>
  <c r="F238" i="1"/>
  <c r="J238" i="1"/>
  <c r="M238" i="1"/>
  <c r="O238" i="1"/>
  <c r="D239" i="1"/>
  <c r="E239" i="1"/>
  <c r="F239" i="1"/>
  <c r="J239" i="1"/>
  <c r="M239" i="1"/>
  <c r="O239" i="1"/>
  <c r="D240" i="1"/>
  <c r="E240" i="1"/>
  <c r="F240" i="1"/>
  <c r="J240" i="1"/>
  <c r="M240" i="1"/>
  <c r="O240" i="1"/>
  <c r="D241" i="1"/>
  <c r="E241" i="1"/>
  <c r="F241" i="1"/>
  <c r="J241" i="1"/>
  <c r="M241" i="1"/>
  <c r="O241" i="1"/>
  <c r="D242" i="1"/>
  <c r="E242" i="1"/>
  <c r="F242" i="1"/>
  <c r="J242" i="1"/>
  <c r="M242" i="1"/>
  <c r="O242" i="1"/>
  <c r="D243" i="1"/>
  <c r="E243" i="1"/>
  <c r="F243" i="1"/>
  <c r="J243" i="1"/>
  <c r="M243" i="1"/>
  <c r="O243" i="1"/>
  <c r="D244" i="1"/>
  <c r="E244" i="1"/>
  <c r="F244" i="1"/>
  <c r="J244" i="1"/>
  <c r="M244" i="1"/>
  <c r="O244" i="1"/>
  <c r="D245" i="1"/>
  <c r="E245" i="1"/>
  <c r="F245" i="1"/>
  <c r="J245" i="1"/>
  <c r="M245" i="1"/>
  <c r="O245" i="1"/>
  <c r="D246" i="1"/>
  <c r="E246" i="1"/>
  <c r="F246" i="1"/>
  <c r="J246" i="1"/>
  <c r="M246" i="1"/>
  <c r="O246" i="1"/>
  <c r="D247" i="1"/>
  <c r="E247" i="1"/>
  <c r="F247" i="1"/>
  <c r="J247" i="1"/>
  <c r="M247" i="1"/>
  <c r="O247" i="1"/>
  <c r="D248" i="1"/>
  <c r="E248" i="1"/>
  <c r="F248" i="1"/>
  <c r="J248" i="1"/>
  <c r="M248" i="1"/>
  <c r="O248" i="1"/>
  <c r="D249" i="1"/>
  <c r="E249" i="1"/>
  <c r="F249" i="1"/>
  <c r="J249" i="1"/>
  <c r="M249" i="1"/>
  <c r="O249" i="1"/>
  <c r="D250" i="1"/>
  <c r="E250" i="1"/>
  <c r="F250" i="1"/>
  <c r="J250" i="1"/>
  <c r="M250" i="1"/>
  <c r="O250" i="1"/>
  <c r="D251" i="1"/>
  <c r="E251" i="1"/>
  <c r="F251" i="1"/>
  <c r="J251" i="1"/>
  <c r="M251" i="1"/>
  <c r="O251" i="1"/>
  <c r="D252" i="1"/>
  <c r="E252" i="1"/>
  <c r="F252" i="1"/>
  <c r="J252" i="1"/>
  <c r="M252" i="1"/>
  <c r="O252" i="1"/>
  <c r="D253" i="1"/>
  <c r="E253" i="1"/>
  <c r="F253" i="1"/>
  <c r="J253" i="1"/>
  <c r="M253" i="1"/>
  <c r="O253" i="1"/>
  <c r="D254" i="1"/>
  <c r="E254" i="1"/>
  <c r="F254" i="1"/>
  <c r="J254" i="1"/>
  <c r="M254" i="1"/>
  <c r="O254" i="1"/>
  <c r="D255" i="1"/>
  <c r="E255" i="1"/>
  <c r="F255" i="1"/>
  <c r="J255" i="1"/>
  <c r="M255" i="1"/>
  <c r="O255" i="1"/>
  <c r="D256" i="1"/>
  <c r="E256" i="1"/>
  <c r="F256" i="1"/>
  <c r="J256" i="1"/>
  <c r="M256" i="1"/>
  <c r="O256" i="1"/>
  <c r="D257" i="1"/>
  <c r="E257" i="1"/>
  <c r="F257" i="1"/>
  <c r="J257" i="1"/>
  <c r="M257" i="1"/>
  <c r="O257" i="1"/>
  <c r="D258" i="1"/>
  <c r="E258" i="1"/>
  <c r="F258" i="1"/>
  <c r="J258" i="1"/>
  <c r="M258" i="1"/>
  <c r="O258" i="1"/>
  <c r="D259" i="1"/>
  <c r="E259" i="1"/>
  <c r="F259" i="1"/>
  <c r="J259" i="1"/>
  <c r="M259" i="1"/>
  <c r="O259" i="1"/>
  <c r="D260" i="1"/>
  <c r="E260" i="1"/>
  <c r="F260" i="1"/>
  <c r="J260" i="1"/>
  <c r="M260" i="1"/>
  <c r="O260" i="1"/>
  <c r="D261" i="1"/>
  <c r="E261" i="1"/>
  <c r="F261" i="1"/>
  <c r="J261" i="1"/>
  <c r="M261" i="1"/>
  <c r="O261" i="1"/>
  <c r="D262" i="1"/>
  <c r="E262" i="1"/>
  <c r="F262" i="1"/>
  <c r="J262" i="1"/>
  <c r="M262" i="1"/>
  <c r="O262" i="1"/>
  <c r="D263" i="1"/>
  <c r="E263" i="1"/>
  <c r="F263" i="1"/>
  <c r="J263" i="1"/>
  <c r="M263" i="1"/>
  <c r="O263" i="1"/>
  <c r="D264" i="1"/>
  <c r="E264" i="1"/>
  <c r="F264" i="1"/>
  <c r="J264" i="1"/>
  <c r="M264" i="1"/>
  <c r="O264" i="1"/>
  <c r="D265" i="1"/>
  <c r="E265" i="1"/>
  <c r="F265" i="1"/>
  <c r="J265" i="1"/>
  <c r="M265" i="1"/>
  <c r="O265" i="1"/>
  <c r="D266" i="1"/>
  <c r="E266" i="1"/>
  <c r="F266" i="1"/>
  <c r="J266" i="1"/>
  <c r="M266" i="1"/>
  <c r="O266" i="1"/>
  <c r="D267" i="1"/>
  <c r="E267" i="1"/>
  <c r="F267" i="1"/>
  <c r="J267" i="1"/>
  <c r="M267" i="1"/>
  <c r="O267" i="1"/>
  <c r="D268" i="1"/>
  <c r="E268" i="1"/>
  <c r="F268" i="1"/>
  <c r="J268" i="1"/>
  <c r="M268" i="1"/>
  <c r="O268" i="1"/>
  <c r="D269" i="1"/>
  <c r="E269" i="1"/>
  <c r="F269" i="1"/>
  <c r="J269" i="1"/>
  <c r="M269" i="1"/>
  <c r="O269" i="1"/>
  <c r="D270" i="1"/>
  <c r="E270" i="1"/>
  <c r="F270" i="1"/>
  <c r="J270" i="1"/>
  <c r="M270" i="1"/>
  <c r="O270" i="1"/>
  <c r="D271" i="1"/>
  <c r="E271" i="1"/>
  <c r="F271" i="1"/>
  <c r="J271" i="1"/>
  <c r="M271" i="1"/>
  <c r="O271" i="1"/>
  <c r="D272" i="1"/>
  <c r="E272" i="1"/>
  <c r="F272" i="1"/>
  <c r="J272" i="1"/>
  <c r="M272" i="1"/>
  <c r="O272" i="1"/>
  <c r="D273" i="1"/>
  <c r="E273" i="1"/>
  <c r="F273" i="1"/>
  <c r="J273" i="1"/>
  <c r="M273" i="1"/>
  <c r="O273" i="1"/>
  <c r="D274" i="1"/>
  <c r="E274" i="1"/>
  <c r="F274" i="1"/>
  <c r="J274" i="1"/>
  <c r="M274" i="1"/>
  <c r="O274" i="1"/>
  <c r="D275" i="1"/>
  <c r="E275" i="1"/>
  <c r="F275" i="1"/>
  <c r="J275" i="1"/>
  <c r="M275" i="1"/>
  <c r="O275" i="1"/>
  <c r="D276" i="1"/>
  <c r="E276" i="1"/>
  <c r="F276" i="1"/>
  <c r="J276" i="1"/>
  <c r="M276" i="1"/>
  <c r="O276" i="1"/>
  <c r="D277" i="1"/>
  <c r="E277" i="1"/>
  <c r="F277" i="1"/>
  <c r="J277" i="1"/>
  <c r="M277" i="1"/>
  <c r="O277" i="1"/>
  <c r="D278" i="1"/>
  <c r="E278" i="1"/>
  <c r="F278" i="1"/>
  <c r="J278" i="1"/>
  <c r="M278" i="1"/>
  <c r="O278" i="1"/>
  <c r="D279" i="1"/>
  <c r="E279" i="1"/>
  <c r="F279" i="1"/>
  <c r="J279" i="1"/>
  <c r="M279" i="1"/>
  <c r="O279" i="1"/>
  <c r="D280" i="1"/>
  <c r="E280" i="1"/>
  <c r="F280" i="1"/>
  <c r="J280" i="1"/>
  <c r="M280" i="1"/>
  <c r="O280" i="1"/>
  <c r="D281" i="1"/>
  <c r="E281" i="1"/>
  <c r="F281" i="1"/>
  <c r="J281" i="1"/>
  <c r="M281" i="1"/>
  <c r="O281" i="1"/>
  <c r="D282" i="1"/>
  <c r="E282" i="1"/>
  <c r="F282" i="1"/>
  <c r="J282" i="1"/>
  <c r="M282" i="1"/>
  <c r="O282" i="1"/>
  <c r="D283" i="1"/>
  <c r="E283" i="1"/>
  <c r="F283" i="1"/>
  <c r="J283" i="1"/>
  <c r="M283" i="1"/>
  <c r="O283" i="1"/>
  <c r="D284" i="1"/>
  <c r="E284" i="1"/>
  <c r="F284" i="1"/>
  <c r="J284" i="1"/>
  <c r="M284" i="1"/>
  <c r="O284" i="1"/>
  <c r="D285" i="1"/>
  <c r="E285" i="1"/>
  <c r="F285" i="1"/>
  <c r="J285" i="1"/>
  <c r="M285" i="1"/>
  <c r="O285" i="1"/>
  <c r="D286" i="1"/>
  <c r="E286" i="1"/>
  <c r="F286" i="1"/>
  <c r="J286" i="1"/>
  <c r="M286" i="1"/>
  <c r="O286" i="1"/>
  <c r="D287" i="1"/>
  <c r="E287" i="1"/>
  <c r="F287" i="1"/>
  <c r="J287" i="1"/>
  <c r="M287" i="1"/>
  <c r="O287" i="1"/>
  <c r="D288" i="1"/>
  <c r="E288" i="1"/>
  <c r="F288" i="1"/>
  <c r="J288" i="1"/>
  <c r="M288" i="1"/>
  <c r="O288" i="1"/>
  <c r="D289" i="1"/>
  <c r="E289" i="1"/>
  <c r="F289" i="1"/>
  <c r="J289" i="1"/>
  <c r="M289" i="1"/>
  <c r="O289" i="1"/>
  <c r="D290" i="1"/>
  <c r="E290" i="1"/>
  <c r="F290" i="1"/>
  <c r="J290" i="1"/>
  <c r="M290" i="1"/>
  <c r="O290" i="1"/>
  <c r="D291" i="1"/>
  <c r="E291" i="1"/>
  <c r="F291" i="1"/>
  <c r="J291" i="1"/>
  <c r="M291" i="1"/>
  <c r="O291" i="1"/>
  <c r="D292" i="1"/>
  <c r="E292" i="1"/>
  <c r="F292" i="1"/>
  <c r="J292" i="1"/>
  <c r="M292" i="1"/>
  <c r="O292" i="1"/>
  <c r="D293" i="1"/>
  <c r="E293" i="1"/>
  <c r="F293" i="1"/>
  <c r="J293" i="1"/>
  <c r="M293" i="1"/>
  <c r="O293" i="1"/>
  <c r="D294" i="1"/>
  <c r="E294" i="1"/>
  <c r="F294" i="1"/>
  <c r="J294" i="1"/>
  <c r="M294" i="1"/>
  <c r="O294" i="1"/>
  <c r="D295" i="1"/>
  <c r="E295" i="1"/>
  <c r="F295" i="1"/>
  <c r="J295" i="1"/>
  <c r="M295" i="1"/>
  <c r="O295" i="1"/>
  <c r="D296" i="1"/>
  <c r="E296" i="1"/>
  <c r="F296" i="1"/>
  <c r="J296" i="1"/>
  <c r="M296" i="1"/>
  <c r="O296" i="1"/>
  <c r="D297" i="1"/>
  <c r="E297" i="1"/>
  <c r="F297" i="1"/>
  <c r="J297" i="1"/>
  <c r="M297" i="1"/>
  <c r="O297" i="1"/>
  <c r="D298" i="1"/>
  <c r="E298" i="1"/>
  <c r="F298" i="1"/>
  <c r="J298" i="1"/>
  <c r="M298" i="1"/>
  <c r="O298" i="1"/>
  <c r="D299" i="1"/>
  <c r="E299" i="1"/>
  <c r="F299" i="1"/>
  <c r="J299" i="1"/>
  <c r="M299" i="1"/>
  <c r="O299" i="1"/>
  <c r="D300" i="1"/>
  <c r="E300" i="1"/>
  <c r="F300" i="1"/>
  <c r="J300" i="1"/>
  <c r="M300" i="1"/>
  <c r="O300" i="1"/>
  <c r="D301" i="1"/>
  <c r="E301" i="1"/>
  <c r="F301" i="1"/>
  <c r="J301" i="1"/>
  <c r="M301" i="1"/>
  <c r="O301" i="1"/>
  <c r="D302" i="1"/>
  <c r="E302" i="1"/>
  <c r="F302" i="1"/>
  <c r="J302" i="1"/>
  <c r="M302" i="1"/>
  <c r="O302" i="1"/>
  <c r="D303" i="1"/>
  <c r="E303" i="1"/>
  <c r="F303" i="1"/>
  <c r="J303" i="1"/>
  <c r="M303" i="1"/>
  <c r="O303" i="1"/>
  <c r="D304" i="1"/>
  <c r="E304" i="1"/>
  <c r="F304" i="1"/>
  <c r="J304" i="1"/>
  <c r="M304" i="1"/>
  <c r="O304" i="1"/>
  <c r="D305" i="1"/>
  <c r="E305" i="1"/>
  <c r="F305" i="1"/>
  <c r="J305" i="1"/>
  <c r="M305" i="1"/>
  <c r="O305" i="1"/>
  <c r="D306" i="1"/>
  <c r="E306" i="1"/>
  <c r="F306" i="1"/>
  <c r="J306" i="1"/>
  <c r="M306" i="1"/>
  <c r="O306" i="1"/>
  <c r="D307" i="1"/>
  <c r="E307" i="1"/>
  <c r="F307" i="1"/>
  <c r="J307" i="1"/>
  <c r="M307" i="1"/>
  <c r="O307" i="1"/>
  <c r="D308" i="1"/>
  <c r="E308" i="1"/>
  <c r="F308" i="1"/>
  <c r="J308" i="1"/>
  <c r="M308" i="1"/>
  <c r="O308" i="1"/>
  <c r="D309" i="1"/>
  <c r="E309" i="1"/>
  <c r="F309" i="1"/>
  <c r="J309" i="1"/>
  <c r="M309" i="1"/>
  <c r="O309" i="1"/>
  <c r="D310" i="1"/>
  <c r="E310" i="1"/>
  <c r="F310" i="1"/>
  <c r="J310" i="1"/>
  <c r="M310" i="1"/>
  <c r="O310" i="1"/>
  <c r="D311" i="1"/>
  <c r="E311" i="1"/>
  <c r="F311" i="1"/>
  <c r="J311" i="1"/>
  <c r="M311" i="1"/>
  <c r="O311" i="1"/>
  <c r="D312" i="1"/>
  <c r="E312" i="1"/>
  <c r="F312" i="1"/>
  <c r="J312" i="1"/>
  <c r="M312" i="1"/>
  <c r="O312" i="1"/>
  <c r="D313" i="1"/>
  <c r="E313" i="1"/>
  <c r="F313" i="1"/>
  <c r="J313" i="1"/>
  <c r="M313" i="1"/>
  <c r="O313" i="1"/>
  <c r="D314" i="1"/>
  <c r="E314" i="1"/>
  <c r="F314" i="1"/>
  <c r="J314" i="1"/>
  <c r="M314" i="1"/>
  <c r="O314" i="1"/>
  <c r="D315" i="1"/>
  <c r="E315" i="1"/>
  <c r="F315" i="1"/>
  <c r="J315" i="1"/>
  <c r="M315" i="1"/>
  <c r="O315" i="1"/>
  <c r="D316" i="1"/>
  <c r="E316" i="1"/>
  <c r="F316" i="1"/>
  <c r="J316" i="1"/>
  <c r="M316" i="1"/>
  <c r="O316" i="1"/>
  <c r="D317" i="1"/>
  <c r="E317" i="1"/>
  <c r="F317" i="1"/>
  <c r="J317" i="1"/>
  <c r="M317" i="1"/>
  <c r="O317" i="1"/>
  <c r="D318" i="1"/>
  <c r="E318" i="1"/>
  <c r="F318" i="1"/>
  <c r="J318" i="1"/>
  <c r="M318" i="1"/>
  <c r="O318" i="1"/>
  <c r="D319" i="1"/>
  <c r="E319" i="1"/>
  <c r="F319" i="1"/>
  <c r="J319" i="1"/>
  <c r="M319" i="1"/>
  <c r="O319" i="1"/>
  <c r="D320" i="1"/>
  <c r="E320" i="1"/>
  <c r="F320" i="1"/>
  <c r="J320" i="1"/>
  <c r="M320" i="1"/>
  <c r="O320" i="1"/>
  <c r="D321" i="1"/>
  <c r="E321" i="1"/>
  <c r="F321" i="1"/>
  <c r="J321" i="1"/>
  <c r="M321" i="1"/>
  <c r="O321" i="1"/>
  <c r="D322" i="1"/>
  <c r="E322" i="1"/>
  <c r="F322" i="1"/>
  <c r="J322" i="1"/>
  <c r="M322" i="1"/>
  <c r="O322" i="1"/>
  <c r="D323" i="1"/>
  <c r="E323" i="1"/>
  <c r="F323" i="1"/>
  <c r="J323" i="1"/>
  <c r="M323" i="1"/>
  <c r="O323" i="1"/>
  <c r="D324" i="1"/>
  <c r="E324" i="1"/>
  <c r="F324" i="1"/>
  <c r="J324" i="1"/>
  <c r="M324" i="1"/>
  <c r="O324" i="1"/>
  <c r="D325" i="1"/>
  <c r="E325" i="1"/>
  <c r="F325" i="1"/>
  <c r="J325" i="1"/>
  <c r="M325" i="1"/>
  <c r="O325" i="1"/>
  <c r="D326" i="1"/>
  <c r="E326" i="1"/>
  <c r="F326" i="1"/>
  <c r="J326" i="1"/>
  <c r="M326" i="1"/>
  <c r="O326" i="1"/>
  <c r="D327" i="1"/>
  <c r="E327" i="1"/>
  <c r="F327" i="1"/>
  <c r="J327" i="1"/>
  <c r="M327" i="1"/>
  <c r="O327" i="1"/>
  <c r="D328" i="1"/>
  <c r="E328" i="1"/>
  <c r="F328" i="1"/>
  <c r="J328" i="1"/>
  <c r="M328" i="1"/>
  <c r="O328" i="1"/>
  <c r="D329" i="1"/>
  <c r="E329" i="1"/>
  <c r="F329" i="1"/>
  <c r="J329" i="1"/>
  <c r="M329" i="1"/>
  <c r="O329" i="1"/>
  <c r="D330" i="1"/>
  <c r="E330" i="1"/>
  <c r="F330" i="1"/>
  <c r="J330" i="1"/>
  <c r="M330" i="1"/>
  <c r="O330" i="1"/>
  <c r="D331" i="1"/>
  <c r="E331" i="1"/>
  <c r="F331" i="1"/>
  <c r="J331" i="1"/>
  <c r="M331" i="1"/>
  <c r="O331" i="1"/>
  <c r="D332" i="1"/>
  <c r="E332" i="1"/>
  <c r="F332" i="1"/>
  <c r="J332" i="1"/>
  <c r="M332" i="1"/>
  <c r="O332" i="1"/>
  <c r="D333" i="1"/>
  <c r="E333" i="1"/>
  <c r="F333" i="1"/>
  <c r="J333" i="1"/>
  <c r="M333" i="1"/>
  <c r="O333" i="1"/>
  <c r="D334" i="1"/>
  <c r="E334" i="1"/>
  <c r="F334" i="1"/>
  <c r="J334" i="1"/>
  <c r="M334" i="1"/>
  <c r="O334" i="1"/>
  <c r="D335" i="1"/>
  <c r="E335" i="1"/>
  <c r="F335" i="1"/>
  <c r="J335" i="1"/>
  <c r="M335" i="1"/>
  <c r="O335" i="1"/>
  <c r="D336" i="1"/>
  <c r="E336" i="1"/>
  <c r="F336" i="1"/>
  <c r="J336" i="1"/>
  <c r="M336" i="1"/>
  <c r="O336" i="1"/>
  <c r="D337" i="1"/>
  <c r="E337" i="1"/>
  <c r="F337" i="1"/>
  <c r="J337" i="1"/>
  <c r="M337" i="1"/>
  <c r="O337" i="1"/>
  <c r="D338" i="1"/>
  <c r="E338" i="1"/>
  <c r="F338" i="1"/>
  <c r="J338" i="1"/>
  <c r="M338" i="1"/>
  <c r="O338" i="1"/>
  <c r="D339" i="1"/>
  <c r="E339" i="1"/>
  <c r="F339" i="1"/>
  <c r="J339" i="1"/>
  <c r="M339" i="1"/>
  <c r="O339" i="1"/>
  <c r="D340" i="1"/>
  <c r="E340" i="1"/>
  <c r="F340" i="1"/>
  <c r="J340" i="1"/>
  <c r="M340" i="1"/>
  <c r="O340" i="1"/>
  <c r="D341" i="1"/>
  <c r="E341" i="1"/>
  <c r="F341" i="1"/>
  <c r="J341" i="1"/>
  <c r="M341" i="1"/>
  <c r="O341" i="1"/>
  <c r="D342" i="1"/>
  <c r="E342" i="1"/>
  <c r="F342" i="1"/>
  <c r="J342" i="1"/>
  <c r="M342" i="1"/>
  <c r="O342" i="1"/>
  <c r="D343" i="1"/>
  <c r="E343" i="1"/>
  <c r="F343" i="1"/>
  <c r="J343" i="1"/>
  <c r="M343" i="1"/>
  <c r="O343" i="1"/>
  <c r="D344" i="1"/>
  <c r="E344" i="1"/>
  <c r="F344" i="1"/>
  <c r="J344" i="1"/>
  <c r="M344" i="1"/>
  <c r="O344" i="1"/>
  <c r="D345" i="1"/>
  <c r="E345" i="1"/>
  <c r="F345" i="1"/>
  <c r="J345" i="1"/>
  <c r="M345" i="1"/>
  <c r="O345" i="1"/>
  <c r="D346" i="1"/>
  <c r="E346" i="1"/>
  <c r="F346" i="1"/>
  <c r="J346" i="1"/>
  <c r="M346" i="1"/>
  <c r="O346" i="1"/>
  <c r="D347" i="1"/>
  <c r="E347" i="1"/>
  <c r="F347" i="1"/>
  <c r="J347" i="1"/>
  <c r="M347" i="1"/>
  <c r="O347" i="1"/>
  <c r="D348" i="1"/>
  <c r="E348" i="1"/>
  <c r="F348" i="1"/>
  <c r="J348" i="1"/>
  <c r="M348" i="1"/>
  <c r="O348" i="1"/>
  <c r="D349" i="1"/>
  <c r="E349" i="1"/>
  <c r="F349" i="1"/>
  <c r="J349" i="1"/>
  <c r="M349" i="1"/>
  <c r="O349" i="1"/>
  <c r="D350" i="1"/>
  <c r="E350" i="1"/>
  <c r="F350" i="1"/>
  <c r="J350" i="1"/>
  <c r="M350" i="1"/>
  <c r="O350" i="1"/>
  <c r="D351" i="1"/>
  <c r="E351" i="1"/>
  <c r="F351" i="1"/>
  <c r="J351" i="1"/>
  <c r="M351" i="1"/>
  <c r="O351" i="1"/>
  <c r="D352" i="1"/>
  <c r="E352" i="1"/>
  <c r="F352" i="1"/>
  <c r="J352" i="1"/>
  <c r="M352" i="1"/>
  <c r="O352" i="1"/>
  <c r="D353" i="1"/>
  <c r="E353" i="1"/>
  <c r="F353" i="1"/>
  <c r="J353" i="1"/>
  <c r="M353" i="1"/>
  <c r="O353" i="1"/>
  <c r="D354" i="1"/>
  <c r="E354" i="1"/>
  <c r="F354" i="1"/>
  <c r="J354" i="1"/>
  <c r="M354" i="1"/>
  <c r="O354" i="1"/>
  <c r="D355" i="1"/>
  <c r="E355" i="1"/>
  <c r="F355" i="1"/>
  <c r="J355" i="1"/>
  <c r="M355" i="1"/>
  <c r="O355" i="1"/>
  <c r="D356" i="1"/>
  <c r="E356" i="1"/>
  <c r="F356" i="1"/>
  <c r="J356" i="1"/>
  <c r="M356" i="1"/>
  <c r="O356" i="1"/>
  <c r="D357" i="1"/>
  <c r="E357" i="1"/>
  <c r="F357" i="1"/>
  <c r="J357" i="1"/>
  <c r="M357" i="1"/>
  <c r="O357" i="1"/>
  <c r="D358" i="1"/>
  <c r="E358" i="1"/>
  <c r="F358" i="1"/>
  <c r="J358" i="1"/>
  <c r="M358" i="1"/>
  <c r="O358" i="1"/>
  <c r="D359" i="1"/>
  <c r="E359" i="1"/>
  <c r="F359" i="1"/>
  <c r="J359" i="1"/>
  <c r="M359" i="1"/>
  <c r="O359" i="1"/>
  <c r="D360" i="1"/>
  <c r="E360" i="1"/>
  <c r="F360" i="1"/>
  <c r="J360" i="1"/>
  <c r="M360" i="1"/>
  <c r="O360" i="1"/>
  <c r="D361" i="1"/>
  <c r="E361" i="1"/>
  <c r="F361" i="1"/>
  <c r="J361" i="1"/>
  <c r="M361" i="1"/>
  <c r="O361" i="1"/>
  <c r="D362" i="1"/>
  <c r="E362" i="1"/>
  <c r="F362" i="1"/>
  <c r="J362" i="1"/>
  <c r="M362" i="1"/>
  <c r="O362" i="1"/>
  <c r="D363" i="1"/>
  <c r="E363" i="1"/>
  <c r="F363" i="1"/>
  <c r="J363" i="1"/>
  <c r="M363" i="1"/>
  <c r="O363" i="1"/>
  <c r="D364" i="1"/>
  <c r="E364" i="1"/>
  <c r="F364" i="1"/>
  <c r="J364" i="1"/>
  <c r="M364" i="1"/>
  <c r="O364" i="1"/>
  <c r="D365" i="1"/>
  <c r="E365" i="1"/>
  <c r="F365" i="1"/>
  <c r="J365" i="1"/>
  <c r="M365" i="1"/>
  <c r="O365" i="1"/>
  <c r="D366" i="1"/>
  <c r="E366" i="1"/>
  <c r="F366" i="1"/>
  <c r="J366" i="1"/>
  <c r="M366" i="1"/>
  <c r="O366" i="1"/>
  <c r="D367" i="1"/>
  <c r="E367" i="1"/>
  <c r="F367" i="1"/>
  <c r="J367" i="1"/>
  <c r="M367" i="1"/>
  <c r="O367" i="1"/>
  <c r="D368" i="1"/>
  <c r="E368" i="1"/>
  <c r="F368" i="1"/>
  <c r="J368" i="1"/>
  <c r="M368" i="1"/>
  <c r="O368" i="1"/>
  <c r="D369" i="1"/>
  <c r="E369" i="1"/>
  <c r="F369" i="1"/>
  <c r="J369" i="1"/>
  <c r="M369" i="1"/>
  <c r="O369" i="1"/>
  <c r="D370" i="1"/>
  <c r="E370" i="1"/>
  <c r="F370" i="1"/>
  <c r="J370" i="1"/>
  <c r="M370" i="1"/>
  <c r="O370" i="1"/>
  <c r="D371" i="1"/>
  <c r="E371" i="1"/>
  <c r="F371" i="1"/>
  <c r="J371" i="1"/>
  <c r="M371" i="1"/>
  <c r="O371" i="1"/>
  <c r="D372" i="1"/>
  <c r="E372" i="1"/>
  <c r="F372" i="1"/>
  <c r="J372" i="1"/>
  <c r="M372" i="1"/>
  <c r="O372" i="1"/>
  <c r="D373" i="1"/>
  <c r="E373" i="1"/>
  <c r="F373" i="1"/>
  <c r="J373" i="1"/>
  <c r="M373" i="1"/>
  <c r="O373" i="1"/>
  <c r="D374" i="1"/>
  <c r="E374" i="1"/>
  <c r="F374" i="1"/>
  <c r="J374" i="1"/>
  <c r="M374" i="1"/>
  <c r="O374" i="1"/>
  <c r="D375" i="1"/>
  <c r="E375" i="1"/>
  <c r="F375" i="1"/>
  <c r="J375" i="1"/>
  <c r="M375" i="1"/>
  <c r="O375" i="1"/>
  <c r="D376" i="1"/>
  <c r="E376" i="1"/>
  <c r="F376" i="1"/>
  <c r="J376" i="1"/>
  <c r="M376" i="1"/>
  <c r="O376" i="1"/>
  <c r="D377" i="1"/>
  <c r="E377" i="1"/>
  <c r="F377" i="1"/>
  <c r="J377" i="1"/>
  <c r="M377" i="1"/>
  <c r="O377" i="1"/>
  <c r="D378" i="1"/>
  <c r="E378" i="1"/>
  <c r="F378" i="1"/>
  <c r="J378" i="1"/>
  <c r="M378" i="1"/>
  <c r="O378" i="1"/>
  <c r="D379" i="1"/>
  <c r="E379" i="1"/>
  <c r="F379" i="1"/>
  <c r="J379" i="1"/>
  <c r="M379" i="1"/>
  <c r="O379" i="1"/>
  <c r="D380" i="1"/>
  <c r="E380" i="1"/>
  <c r="F380" i="1"/>
  <c r="J380" i="1"/>
  <c r="M380" i="1"/>
  <c r="O380" i="1"/>
  <c r="D381" i="1"/>
  <c r="E381" i="1"/>
  <c r="F381" i="1"/>
  <c r="J381" i="1"/>
  <c r="M381" i="1"/>
  <c r="O381" i="1"/>
  <c r="D382" i="1"/>
  <c r="E382" i="1"/>
  <c r="F382" i="1"/>
  <c r="J382" i="1"/>
  <c r="M382" i="1"/>
  <c r="O382" i="1"/>
  <c r="D383" i="1"/>
  <c r="E383" i="1"/>
  <c r="F383" i="1"/>
  <c r="J383" i="1"/>
  <c r="M383" i="1"/>
  <c r="O383" i="1"/>
  <c r="D384" i="1"/>
  <c r="E384" i="1"/>
  <c r="F384" i="1"/>
  <c r="J384" i="1"/>
  <c r="M384" i="1"/>
  <c r="O384" i="1"/>
  <c r="D385" i="1"/>
  <c r="E385" i="1"/>
  <c r="F385" i="1"/>
  <c r="J385" i="1"/>
  <c r="M385" i="1"/>
  <c r="O385" i="1"/>
  <c r="D386" i="1"/>
  <c r="E386" i="1"/>
  <c r="F386" i="1"/>
  <c r="J386" i="1"/>
  <c r="M386" i="1"/>
  <c r="O386" i="1"/>
  <c r="D387" i="1"/>
  <c r="E387" i="1"/>
  <c r="F387" i="1"/>
  <c r="J387" i="1"/>
  <c r="M387" i="1"/>
  <c r="O387" i="1"/>
  <c r="D388" i="1"/>
  <c r="E388" i="1"/>
  <c r="F388" i="1"/>
  <c r="J388" i="1"/>
  <c r="M388" i="1"/>
  <c r="O388" i="1"/>
  <c r="D389" i="1"/>
  <c r="E389" i="1"/>
  <c r="F389" i="1"/>
  <c r="J389" i="1"/>
  <c r="M389" i="1"/>
  <c r="O389" i="1"/>
  <c r="D390" i="1"/>
  <c r="E390" i="1"/>
  <c r="F390" i="1"/>
  <c r="J390" i="1"/>
  <c r="M390" i="1"/>
  <c r="O390" i="1"/>
  <c r="D391" i="1"/>
  <c r="E391" i="1"/>
  <c r="F391" i="1"/>
  <c r="J391" i="1"/>
  <c r="M391" i="1"/>
  <c r="O391" i="1"/>
  <c r="D392" i="1"/>
  <c r="E392" i="1"/>
  <c r="F392" i="1"/>
  <c r="J392" i="1"/>
  <c r="M392" i="1"/>
  <c r="O392" i="1"/>
  <c r="D393" i="1"/>
  <c r="E393" i="1"/>
  <c r="F393" i="1"/>
  <c r="J393" i="1"/>
  <c r="M393" i="1"/>
  <c r="O393" i="1"/>
  <c r="D394" i="1"/>
  <c r="E394" i="1"/>
  <c r="F394" i="1"/>
  <c r="J394" i="1"/>
  <c r="M394" i="1"/>
  <c r="O394" i="1"/>
  <c r="D395" i="1"/>
  <c r="E395" i="1"/>
  <c r="F395" i="1"/>
  <c r="J395" i="1"/>
  <c r="M395" i="1"/>
  <c r="O395" i="1"/>
  <c r="D396" i="1"/>
  <c r="E396" i="1"/>
  <c r="F396" i="1"/>
  <c r="J396" i="1"/>
  <c r="M396" i="1"/>
  <c r="O396" i="1"/>
  <c r="D397" i="1"/>
  <c r="E397" i="1"/>
  <c r="F397" i="1"/>
  <c r="J397" i="1"/>
  <c r="M397" i="1"/>
  <c r="O397" i="1"/>
  <c r="D398" i="1"/>
  <c r="E398" i="1"/>
  <c r="F398" i="1"/>
  <c r="J398" i="1"/>
  <c r="M398" i="1"/>
  <c r="O398" i="1"/>
  <c r="D399" i="1"/>
  <c r="E399" i="1"/>
  <c r="F399" i="1"/>
  <c r="J399" i="1"/>
  <c r="M399" i="1"/>
  <c r="O399" i="1"/>
  <c r="D400" i="1"/>
  <c r="E400" i="1"/>
  <c r="F400" i="1"/>
  <c r="J400" i="1"/>
  <c r="M400" i="1"/>
  <c r="O400" i="1"/>
  <c r="D401" i="1"/>
  <c r="E401" i="1"/>
  <c r="F401" i="1"/>
  <c r="J401" i="1"/>
  <c r="M401" i="1"/>
  <c r="O401" i="1"/>
  <c r="D402" i="1"/>
  <c r="E402" i="1"/>
  <c r="F402" i="1"/>
  <c r="J402" i="1"/>
  <c r="M402" i="1"/>
  <c r="O402" i="1"/>
  <c r="D403" i="1"/>
  <c r="E403" i="1"/>
  <c r="F403" i="1"/>
  <c r="J403" i="1"/>
  <c r="M403" i="1"/>
  <c r="O403" i="1"/>
  <c r="D404" i="1"/>
  <c r="E404" i="1"/>
  <c r="F404" i="1"/>
  <c r="J404" i="1"/>
  <c r="M404" i="1"/>
  <c r="O404" i="1"/>
  <c r="D405" i="1"/>
  <c r="E405" i="1"/>
  <c r="F405" i="1"/>
  <c r="J405" i="1"/>
  <c r="M405" i="1"/>
  <c r="O405" i="1"/>
  <c r="D406" i="1"/>
  <c r="E406" i="1"/>
  <c r="F406" i="1"/>
  <c r="J406" i="1"/>
  <c r="M406" i="1"/>
  <c r="O406" i="1"/>
  <c r="D407" i="1"/>
  <c r="E407" i="1"/>
  <c r="F407" i="1"/>
  <c r="J407" i="1"/>
  <c r="M407" i="1"/>
  <c r="O407" i="1"/>
  <c r="D408" i="1"/>
  <c r="E408" i="1"/>
  <c r="F408" i="1"/>
  <c r="J408" i="1"/>
  <c r="M408" i="1"/>
  <c r="O408" i="1"/>
  <c r="D409" i="1"/>
  <c r="E409" i="1"/>
  <c r="F409" i="1"/>
  <c r="J409" i="1"/>
  <c r="M409" i="1"/>
  <c r="O409" i="1"/>
  <c r="D410" i="1"/>
  <c r="E410" i="1"/>
  <c r="F410" i="1"/>
  <c r="J410" i="1"/>
  <c r="M410" i="1"/>
  <c r="O410" i="1"/>
  <c r="D411" i="1"/>
  <c r="E411" i="1"/>
  <c r="F411" i="1"/>
  <c r="J411" i="1"/>
  <c r="M411" i="1"/>
  <c r="O411" i="1"/>
  <c r="D412" i="1"/>
  <c r="E412" i="1"/>
  <c r="F412" i="1"/>
  <c r="J412" i="1"/>
  <c r="M412" i="1"/>
  <c r="O412" i="1"/>
  <c r="D413" i="1"/>
  <c r="E413" i="1"/>
  <c r="F413" i="1"/>
  <c r="J413" i="1"/>
  <c r="M413" i="1"/>
  <c r="O413" i="1"/>
  <c r="D414" i="1"/>
  <c r="E414" i="1"/>
  <c r="F414" i="1"/>
  <c r="J414" i="1"/>
  <c r="M414" i="1"/>
  <c r="O414" i="1"/>
  <c r="D415" i="1"/>
  <c r="E415" i="1"/>
  <c r="F415" i="1"/>
  <c r="J415" i="1"/>
  <c r="M415" i="1"/>
  <c r="O415" i="1"/>
  <c r="D416" i="1"/>
  <c r="E416" i="1"/>
  <c r="F416" i="1"/>
  <c r="J416" i="1"/>
  <c r="M416" i="1"/>
  <c r="O416" i="1"/>
  <c r="D417" i="1"/>
  <c r="E417" i="1"/>
  <c r="F417" i="1"/>
  <c r="J417" i="1"/>
  <c r="M417" i="1"/>
  <c r="O417" i="1"/>
  <c r="D418" i="1"/>
  <c r="E418" i="1"/>
  <c r="F418" i="1"/>
  <c r="J418" i="1"/>
  <c r="M418" i="1"/>
  <c r="O418" i="1"/>
  <c r="D419" i="1"/>
  <c r="E419" i="1"/>
  <c r="F419" i="1"/>
  <c r="J419" i="1"/>
  <c r="M419" i="1"/>
  <c r="O419" i="1"/>
  <c r="D420" i="1"/>
  <c r="E420" i="1"/>
  <c r="F420" i="1"/>
  <c r="J420" i="1"/>
  <c r="M420" i="1"/>
  <c r="O420" i="1"/>
  <c r="D421" i="1"/>
  <c r="E421" i="1"/>
  <c r="F421" i="1"/>
  <c r="J421" i="1"/>
  <c r="M421" i="1"/>
  <c r="O421" i="1"/>
  <c r="D422" i="1"/>
  <c r="E422" i="1"/>
  <c r="F422" i="1"/>
  <c r="J422" i="1"/>
  <c r="M422" i="1"/>
  <c r="O422" i="1"/>
  <c r="D423" i="1"/>
  <c r="E423" i="1"/>
  <c r="F423" i="1"/>
  <c r="J423" i="1"/>
  <c r="M423" i="1"/>
  <c r="O423" i="1"/>
  <c r="D424" i="1"/>
  <c r="E424" i="1"/>
  <c r="F424" i="1"/>
  <c r="J424" i="1"/>
  <c r="M424" i="1"/>
  <c r="O424" i="1"/>
  <c r="D425" i="1"/>
  <c r="E425" i="1"/>
  <c r="F425" i="1"/>
  <c r="J425" i="1"/>
  <c r="M425" i="1"/>
  <c r="O425" i="1"/>
  <c r="D426" i="1"/>
  <c r="E426" i="1"/>
  <c r="F426" i="1"/>
  <c r="J426" i="1"/>
  <c r="M426" i="1"/>
  <c r="O426" i="1"/>
  <c r="D427" i="1"/>
  <c r="E427" i="1"/>
  <c r="F427" i="1"/>
  <c r="J427" i="1"/>
  <c r="M427" i="1"/>
  <c r="O427" i="1"/>
  <c r="D428" i="1"/>
  <c r="E428" i="1"/>
  <c r="F428" i="1"/>
  <c r="J428" i="1"/>
  <c r="M428" i="1"/>
  <c r="O428" i="1"/>
  <c r="D429" i="1"/>
  <c r="E429" i="1"/>
  <c r="F429" i="1"/>
  <c r="J429" i="1"/>
  <c r="M429" i="1"/>
  <c r="O429" i="1"/>
  <c r="D430" i="1"/>
  <c r="E430" i="1"/>
  <c r="F430" i="1"/>
  <c r="J430" i="1"/>
  <c r="M430" i="1"/>
  <c r="O430" i="1"/>
  <c r="D431" i="1"/>
  <c r="E431" i="1"/>
  <c r="F431" i="1"/>
  <c r="J431" i="1"/>
  <c r="M431" i="1"/>
  <c r="O431" i="1"/>
  <c r="D432" i="1"/>
  <c r="E432" i="1"/>
  <c r="F432" i="1"/>
  <c r="J432" i="1"/>
  <c r="M432" i="1"/>
  <c r="O432" i="1"/>
  <c r="D433" i="1"/>
  <c r="E433" i="1"/>
  <c r="F433" i="1"/>
  <c r="J433" i="1"/>
  <c r="M433" i="1"/>
  <c r="O433" i="1"/>
  <c r="D434" i="1"/>
  <c r="E434" i="1"/>
  <c r="F434" i="1"/>
  <c r="J434" i="1"/>
  <c r="M434" i="1"/>
  <c r="O434" i="1"/>
  <c r="D435" i="1"/>
  <c r="E435" i="1"/>
  <c r="F435" i="1"/>
  <c r="J435" i="1"/>
  <c r="M435" i="1"/>
  <c r="O435" i="1"/>
  <c r="D436" i="1"/>
  <c r="E436" i="1"/>
  <c r="F436" i="1"/>
  <c r="J436" i="1"/>
  <c r="M436" i="1"/>
  <c r="O436" i="1"/>
  <c r="D437" i="1"/>
  <c r="E437" i="1"/>
  <c r="F437" i="1"/>
  <c r="J437" i="1"/>
  <c r="M437" i="1"/>
  <c r="O437" i="1"/>
  <c r="D438" i="1"/>
  <c r="E438" i="1"/>
  <c r="F438" i="1"/>
  <c r="J438" i="1"/>
  <c r="M438" i="1"/>
  <c r="O438" i="1"/>
  <c r="D439" i="1"/>
  <c r="E439" i="1"/>
  <c r="F439" i="1"/>
  <c r="J439" i="1"/>
  <c r="M439" i="1"/>
  <c r="O439" i="1"/>
  <c r="D440" i="1"/>
  <c r="E440" i="1"/>
  <c r="F440" i="1"/>
  <c r="J440" i="1"/>
  <c r="M440" i="1"/>
  <c r="O440" i="1"/>
  <c r="D441" i="1"/>
  <c r="E441" i="1"/>
  <c r="F441" i="1"/>
  <c r="J441" i="1"/>
  <c r="M441" i="1"/>
  <c r="O441" i="1"/>
  <c r="D442" i="1"/>
  <c r="E442" i="1"/>
  <c r="F442" i="1"/>
  <c r="J442" i="1"/>
  <c r="M442" i="1"/>
  <c r="O442" i="1"/>
  <c r="D443" i="1"/>
  <c r="E443" i="1"/>
  <c r="F443" i="1"/>
  <c r="J443" i="1"/>
  <c r="M443" i="1"/>
  <c r="O443" i="1"/>
  <c r="D444" i="1"/>
  <c r="E444" i="1"/>
  <c r="F444" i="1"/>
  <c r="J444" i="1"/>
  <c r="M444" i="1"/>
  <c r="O444" i="1"/>
  <c r="D445" i="1"/>
  <c r="E445" i="1"/>
  <c r="F445" i="1"/>
  <c r="J445" i="1"/>
  <c r="M445" i="1"/>
  <c r="O445" i="1"/>
  <c r="D446" i="1"/>
  <c r="E446" i="1"/>
  <c r="F446" i="1"/>
  <c r="J446" i="1"/>
  <c r="M446" i="1"/>
  <c r="O446" i="1"/>
  <c r="D447" i="1"/>
  <c r="E447" i="1"/>
  <c r="F447" i="1"/>
  <c r="J447" i="1"/>
  <c r="M447" i="1"/>
  <c r="O447" i="1"/>
  <c r="D448" i="1"/>
  <c r="E448" i="1"/>
  <c r="F448" i="1"/>
  <c r="J448" i="1"/>
  <c r="M448" i="1"/>
  <c r="O448" i="1"/>
  <c r="D449" i="1"/>
  <c r="E449" i="1"/>
  <c r="F449" i="1"/>
  <c r="J449" i="1"/>
  <c r="M449" i="1"/>
  <c r="O449" i="1"/>
  <c r="D450" i="1"/>
  <c r="E450" i="1"/>
  <c r="F450" i="1"/>
  <c r="J450" i="1"/>
  <c r="M450" i="1"/>
  <c r="O450" i="1"/>
  <c r="D451" i="1"/>
  <c r="E451" i="1"/>
  <c r="F451" i="1"/>
  <c r="J451" i="1"/>
  <c r="M451" i="1"/>
  <c r="O451" i="1"/>
  <c r="D452" i="1"/>
  <c r="E452" i="1"/>
  <c r="F452" i="1"/>
  <c r="J452" i="1"/>
  <c r="M452" i="1"/>
  <c r="O452" i="1"/>
  <c r="D453" i="1"/>
  <c r="E453" i="1"/>
  <c r="F453" i="1"/>
  <c r="J453" i="1"/>
  <c r="M453" i="1"/>
  <c r="O453" i="1"/>
  <c r="D454" i="1"/>
  <c r="E454" i="1"/>
  <c r="F454" i="1"/>
  <c r="J454" i="1"/>
  <c r="M454" i="1"/>
  <c r="O454" i="1"/>
  <c r="D455" i="1"/>
  <c r="E455" i="1"/>
  <c r="F455" i="1"/>
  <c r="J455" i="1"/>
  <c r="M455" i="1"/>
  <c r="O455" i="1"/>
  <c r="D456" i="1"/>
  <c r="E456" i="1"/>
  <c r="F456" i="1"/>
  <c r="J456" i="1"/>
  <c r="M456" i="1"/>
  <c r="O456" i="1"/>
  <c r="D457" i="1"/>
  <c r="E457" i="1"/>
  <c r="F457" i="1"/>
  <c r="J457" i="1"/>
  <c r="M457" i="1"/>
  <c r="O457" i="1"/>
  <c r="D458" i="1"/>
  <c r="E458" i="1"/>
  <c r="F458" i="1"/>
  <c r="J458" i="1"/>
  <c r="M458" i="1"/>
  <c r="O458" i="1"/>
  <c r="D459" i="1"/>
  <c r="E459" i="1"/>
  <c r="F459" i="1"/>
  <c r="J459" i="1"/>
  <c r="M459" i="1"/>
  <c r="O459" i="1"/>
  <c r="D460" i="1"/>
  <c r="E460" i="1"/>
  <c r="F460" i="1"/>
  <c r="J460" i="1"/>
  <c r="M460" i="1"/>
  <c r="O460" i="1"/>
  <c r="D461" i="1"/>
  <c r="E461" i="1"/>
  <c r="F461" i="1"/>
  <c r="J461" i="1"/>
  <c r="M461" i="1"/>
  <c r="O461" i="1"/>
  <c r="D462" i="1"/>
  <c r="E462" i="1"/>
  <c r="F462" i="1"/>
  <c r="J462" i="1"/>
  <c r="M462" i="1"/>
  <c r="O462" i="1"/>
  <c r="D463" i="1"/>
  <c r="E463" i="1"/>
  <c r="F463" i="1"/>
  <c r="J463" i="1"/>
  <c r="M463" i="1"/>
  <c r="O463" i="1"/>
  <c r="D464" i="1"/>
  <c r="E464" i="1"/>
  <c r="F464" i="1"/>
  <c r="J464" i="1"/>
  <c r="M464" i="1"/>
  <c r="O464" i="1"/>
  <c r="D465" i="1"/>
  <c r="E465" i="1"/>
  <c r="F465" i="1"/>
  <c r="J465" i="1"/>
  <c r="M465" i="1"/>
  <c r="O465" i="1"/>
  <c r="D466" i="1"/>
  <c r="E466" i="1"/>
  <c r="F466" i="1"/>
  <c r="J466" i="1"/>
  <c r="M466" i="1"/>
  <c r="O466" i="1"/>
  <c r="D467" i="1"/>
  <c r="E467" i="1"/>
  <c r="F467" i="1"/>
  <c r="J467" i="1"/>
  <c r="M467" i="1"/>
  <c r="O467" i="1"/>
  <c r="D468" i="1"/>
  <c r="E468" i="1"/>
  <c r="F468" i="1"/>
  <c r="J468" i="1"/>
  <c r="M468" i="1"/>
  <c r="O468" i="1"/>
  <c r="D469" i="1"/>
  <c r="E469" i="1"/>
  <c r="F469" i="1"/>
  <c r="J469" i="1"/>
  <c r="M469" i="1"/>
  <c r="O469" i="1"/>
  <c r="D470" i="1"/>
  <c r="E470" i="1"/>
  <c r="F470" i="1"/>
  <c r="J470" i="1"/>
  <c r="M470" i="1"/>
  <c r="O470" i="1"/>
  <c r="D471" i="1"/>
  <c r="E471" i="1"/>
  <c r="F471" i="1"/>
  <c r="J471" i="1"/>
  <c r="M471" i="1"/>
  <c r="O471" i="1"/>
  <c r="D472" i="1"/>
  <c r="E472" i="1"/>
  <c r="F472" i="1"/>
  <c r="J472" i="1"/>
  <c r="M472" i="1"/>
  <c r="O472" i="1"/>
  <c r="D473" i="1"/>
  <c r="E473" i="1"/>
  <c r="F473" i="1"/>
  <c r="J473" i="1"/>
  <c r="M473" i="1"/>
  <c r="O473" i="1"/>
  <c r="D474" i="1"/>
  <c r="E474" i="1"/>
  <c r="F474" i="1"/>
  <c r="J474" i="1"/>
  <c r="M474" i="1"/>
  <c r="O474" i="1"/>
  <c r="D475" i="1"/>
  <c r="E475" i="1"/>
  <c r="F475" i="1"/>
  <c r="J475" i="1"/>
  <c r="M475" i="1"/>
  <c r="O475" i="1"/>
  <c r="D476" i="1"/>
  <c r="E476" i="1"/>
  <c r="F476" i="1"/>
  <c r="J476" i="1"/>
  <c r="M476" i="1"/>
  <c r="O476" i="1"/>
  <c r="D477" i="1"/>
  <c r="E477" i="1"/>
  <c r="F477" i="1"/>
  <c r="J477" i="1"/>
  <c r="M477" i="1"/>
  <c r="O477" i="1"/>
  <c r="D478" i="1"/>
  <c r="E478" i="1"/>
  <c r="F478" i="1"/>
  <c r="J478" i="1"/>
  <c r="M478" i="1"/>
  <c r="O478" i="1"/>
  <c r="D479" i="1"/>
  <c r="E479" i="1"/>
  <c r="F479" i="1"/>
  <c r="J479" i="1"/>
  <c r="M479" i="1"/>
  <c r="O479" i="1"/>
  <c r="D480" i="1"/>
  <c r="E480" i="1"/>
  <c r="F480" i="1"/>
  <c r="J480" i="1"/>
  <c r="M480" i="1"/>
  <c r="O480" i="1"/>
  <c r="D481" i="1"/>
  <c r="E481" i="1"/>
  <c r="F481" i="1"/>
  <c r="J481" i="1"/>
  <c r="M481" i="1"/>
  <c r="O481" i="1"/>
  <c r="D482" i="1"/>
  <c r="E482" i="1"/>
  <c r="F482" i="1"/>
  <c r="J482" i="1"/>
  <c r="M482" i="1"/>
  <c r="O482" i="1"/>
  <c r="D483" i="1"/>
  <c r="E483" i="1"/>
  <c r="F483" i="1"/>
  <c r="J483" i="1"/>
  <c r="M483" i="1"/>
  <c r="O483" i="1"/>
  <c r="D484" i="1"/>
  <c r="E484" i="1"/>
  <c r="F484" i="1"/>
  <c r="J484" i="1"/>
  <c r="M484" i="1"/>
  <c r="O484" i="1"/>
  <c r="D485" i="1"/>
  <c r="E485" i="1"/>
  <c r="F485" i="1"/>
  <c r="J485" i="1"/>
  <c r="M485" i="1"/>
  <c r="O485" i="1"/>
  <c r="D486" i="1"/>
  <c r="E486" i="1"/>
  <c r="F486" i="1"/>
  <c r="J486" i="1"/>
  <c r="M486" i="1"/>
  <c r="O486" i="1"/>
  <c r="D487" i="1"/>
  <c r="E487" i="1"/>
  <c r="F487" i="1"/>
  <c r="J487" i="1"/>
  <c r="M487" i="1"/>
  <c r="O487" i="1"/>
  <c r="D488" i="1"/>
  <c r="E488" i="1"/>
  <c r="F488" i="1"/>
  <c r="J488" i="1"/>
  <c r="M488" i="1"/>
  <c r="O488" i="1"/>
  <c r="D489" i="1"/>
  <c r="E489" i="1"/>
  <c r="F489" i="1"/>
  <c r="J489" i="1"/>
  <c r="M489" i="1"/>
  <c r="O489" i="1"/>
  <c r="D490" i="1"/>
  <c r="E490" i="1"/>
  <c r="F490" i="1"/>
  <c r="J490" i="1"/>
  <c r="M490" i="1"/>
  <c r="O490" i="1"/>
  <c r="D491" i="1"/>
  <c r="E491" i="1"/>
  <c r="F491" i="1"/>
  <c r="J491" i="1"/>
  <c r="M491" i="1"/>
  <c r="O491" i="1"/>
  <c r="D492" i="1"/>
  <c r="E492" i="1"/>
  <c r="F492" i="1"/>
  <c r="J492" i="1"/>
  <c r="M492" i="1"/>
  <c r="O492" i="1"/>
  <c r="D493" i="1"/>
  <c r="E493" i="1"/>
  <c r="F493" i="1"/>
  <c r="J493" i="1"/>
  <c r="M493" i="1"/>
  <c r="O493" i="1"/>
  <c r="D494" i="1"/>
  <c r="E494" i="1"/>
  <c r="F494" i="1"/>
  <c r="J494" i="1"/>
  <c r="M494" i="1"/>
  <c r="O494" i="1"/>
  <c r="D495" i="1"/>
  <c r="E495" i="1"/>
  <c r="F495" i="1"/>
  <c r="J495" i="1"/>
  <c r="M495" i="1"/>
  <c r="O495" i="1"/>
  <c r="D496" i="1"/>
  <c r="E496" i="1"/>
  <c r="F496" i="1"/>
  <c r="J496" i="1"/>
  <c r="M496" i="1"/>
  <c r="O496" i="1"/>
  <c r="D497" i="1"/>
  <c r="E497" i="1"/>
  <c r="F497" i="1"/>
  <c r="J497" i="1"/>
  <c r="M497" i="1"/>
  <c r="O497" i="1"/>
  <c r="D498" i="1"/>
  <c r="E498" i="1"/>
  <c r="F498" i="1"/>
  <c r="J498" i="1"/>
  <c r="M498" i="1"/>
  <c r="O498" i="1"/>
  <c r="D499" i="1"/>
  <c r="E499" i="1"/>
  <c r="F499" i="1"/>
  <c r="J499" i="1"/>
  <c r="M499" i="1"/>
  <c r="O499" i="1"/>
  <c r="D500" i="1"/>
  <c r="E500" i="1"/>
  <c r="F500" i="1"/>
  <c r="J500" i="1"/>
  <c r="M500" i="1"/>
  <c r="O500" i="1"/>
  <c r="D501" i="1"/>
  <c r="E501" i="1"/>
  <c r="F501" i="1"/>
  <c r="J501" i="1"/>
  <c r="M501" i="1"/>
  <c r="O501" i="1"/>
  <c r="D502" i="1"/>
  <c r="E502" i="1"/>
  <c r="F502" i="1"/>
  <c r="J502" i="1"/>
  <c r="M502" i="1"/>
  <c r="O502" i="1"/>
  <c r="D503" i="1"/>
  <c r="E503" i="1"/>
  <c r="F503" i="1"/>
  <c r="J503" i="1"/>
  <c r="M503" i="1"/>
  <c r="O503" i="1"/>
  <c r="D504" i="1"/>
  <c r="E504" i="1"/>
  <c r="F504" i="1"/>
  <c r="J504" i="1"/>
  <c r="M504" i="1"/>
  <c r="O504" i="1"/>
  <c r="D505" i="1"/>
  <c r="E505" i="1"/>
  <c r="F505" i="1"/>
  <c r="J505" i="1"/>
  <c r="M505" i="1"/>
  <c r="O505" i="1"/>
  <c r="D506" i="1"/>
  <c r="E506" i="1"/>
  <c r="F506" i="1"/>
  <c r="J506" i="1"/>
  <c r="M506" i="1"/>
  <c r="O506" i="1"/>
  <c r="D507" i="1"/>
  <c r="E507" i="1"/>
  <c r="F507" i="1"/>
  <c r="J507" i="1"/>
  <c r="M507" i="1"/>
  <c r="O507" i="1"/>
  <c r="D508" i="1"/>
  <c r="E508" i="1"/>
  <c r="F508" i="1"/>
  <c r="J508" i="1"/>
  <c r="M508" i="1"/>
  <c r="O508" i="1"/>
  <c r="D509" i="1"/>
  <c r="E509" i="1"/>
  <c r="F509" i="1"/>
  <c r="J509" i="1"/>
  <c r="M509" i="1"/>
  <c r="O509" i="1"/>
  <c r="D510" i="1"/>
  <c r="E510" i="1"/>
  <c r="F510" i="1"/>
  <c r="J510" i="1"/>
  <c r="M510" i="1"/>
  <c r="O510" i="1"/>
  <c r="D511" i="1"/>
  <c r="E511" i="1"/>
  <c r="F511" i="1"/>
  <c r="J511" i="1"/>
  <c r="M511" i="1"/>
  <c r="O511" i="1"/>
  <c r="D512" i="1"/>
  <c r="E512" i="1"/>
  <c r="F512" i="1"/>
  <c r="J512" i="1"/>
  <c r="M512" i="1"/>
  <c r="O512" i="1"/>
  <c r="D513" i="1"/>
  <c r="E513" i="1"/>
  <c r="F513" i="1"/>
  <c r="J513" i="1"/>
  <c r="M513" i="1"/>
  <c r="O513" i="1"/>
  <c r="D514" i="1"/>
  <c r="E514" i="1"/>
  <c r="F514" i="1"/>
  <c r="J514" i="1"/>
  <c r="M514" i="1"/>
  <c r="O514" i="1"/>
  <c r="D515" i="1"/>
  <c r="E515" i="1"/>
  <c r="F515" i="1"/>
  <c r="J515" i="1"/>
  <c r="M515" i="1"/>
  <c r="O515" i="1"/>
  <c r="D516" i="1"/>
  <c r="E516" i="1"/>
  <c r="F516" i="1"/>
  <c r="J516" i="1"/>
  <c r="M516" i="1"/>
  <c r="O516" i="1"/>
  <c r="D517" i="1"/>
  <c r="E517" i="1"/>
  <c r="F517" i="1"/>
  <c r="J517" i="1"/>
  <c r="M517" i="1"/>
  <c r="O517" i="1"/>
  <c r="D518" i="1"/>
  <c r="E518" i="1"/>
  <c r="F518" i="1"/>
  <c r="J518" i="1"/>
  <c r="M518" i="1"/>
  <c r="O518" i="1"/>
  <c r="D519" i="1"/>
  <c r="E519" i="1"/>
  <c r="F519" i="1"/>
  <c r="J519" i="1"/>
  <c r="M519" i="1"/>
  <c r="O519" i="1"/>
  <c r="D520" i="1"/>
  <c r="E520" i="1"/>
  <c r="F520" i="1"/>
  <c r="J520" i="1"/>
  <c r="M520" i="1"/>
  <c r="O520" i="1"/>
  <c r="D521" i="1"/>
  <c r="E521" i="1"/>
  <c r="F521" i="1"/>
  <c r="J521" i="1"/>
  <c r="M521" i="1"/>
  <c r="O521" i="1"/>
  <c r="D522" i="1"/>
  <c r="E522" i="1"/>
  <c r="F522" i="1"/>
  <c r="J522" i="1"/>
  <c r="M522" i="1"/>
  <c r="O522" i="1"/>
  <c r="D523" i="1"/>
  <c r="E523" i="1"/>
  <c r="F523" i="1"/>
  <c r="J523" i="1"/>
  <c r="M523" i="1"/>
  <c r="O523" i="1"/>
  <c r="D524" i="1"/>
  <c r="E524" i="1"/>
  <c r="F524" i="1"/>
  <c r="J524" i="1"/>
  <c r="M524" i="1"/>
  <c r="O524" i="1"/>
  <c r="D525" i="1"/>
  <c r="E525" i="1"/>
  <c r="F525" i="1"/>
  <c r="J525" i="1"/>
  <c r="M525" i="1"/>
  <c r="O525" i="1"/>
  <c r="D526" i="1"/>
  <c r="E526" i="1"/>
  <c r="F526" i="1"/>
  <c r="J526" i="1"/>
  <c r="M526" i="1"/>
  <c r="O526" i="1"/>
  <c r="D527" i="1"/>
  <c r="E527" i="1"/>
  <c r="F527" i="1"/>
  <c r="J527" i="1"/>
  <c r="M527" i="1"/>
  <c r="O527" i="1"/>
  <c r="D528" i="1"/>
  <c r="E528" i="1"/>
  <c r="F528" i="1"/>
  <c r="J528" i="1"/>
  <c r="M528" i="1"/>
  <c r="O528" i="1"/>
  <c r="D529" i="1"/>
  <c r="E529" i="1"/>
  <c r="F529" i="1"/>
  <c r="J529" i="1"/>
  <c r="M529" i="1"/>
  <c r="O529" i="1"/>
  <c r="D530" i="1"/>
  <c r="E530" i="1"/>
  <c r="F530" i="1"/>
  <c r="J530" i="1"/>
  <c r="M530" i="1"/>
  <c r="O530" i="1"/>
  <c r="D531" i="1"/>
  <c r="E531" i="1"/>
  <c r="F531" i="1"/>
  <c r="J531" i="1"/>
  <c r="M531" i="1"/>
  <c r="O531" i="1"/>
  <c r="D532" i="1"/>
  <c r="E532" i="1"/>
  <c r="F532" i="1"/>
  <c r="J532" i="1"/>
  <c r="M532" i="1"/>
  <c r="O532" i="1"/>
  <c r="D533" i="1"/>
  <c r="E533" i="1"/>
  <c r="F533" i="1"/>
  <c r="J533" i="1"/>
  <c r="M533" i="1"/>
  <c r="O533" i="1"/>
  <c r="D534" i="1"/>
  <c r="E534" i="1"/>
  <c r="F534" i="1"/>
  <c r="J534" i="1"/>
  <c r="M534" i="1"/>
  <c r="O534" i="1"/>
  <c r="D535" i="1"/>
  <c r="E535" i="1"/>
  <c r="F535" i="1"/>
  <c r="J535" i="1"/>
  <c r="M535" i="1"/>
  <c r="O535" i="1"/>
  <c r="D536" i="1"/>
  <c r="E536" i="1"/>
  <c r="F536" i="1"/>
  <c r="J536" i="1"/>
  <c r="M536" i="1"/>
  <c r="O536" i="1"/>
  <c r="D537" i="1"/>
  <c r="E537" i="1"/>
  <c r="F537" i="1"/>
  <c r="J537" i="1"/>
  <c r="M537" i="1"/>
  <c r="O537" i="1"/>
  <c r="D538" i="1"/>
  <c r="E538" i="1"/>
  <c r="F538" i="1"/>
  <c r="J538" i="1"/>
  <c r="M538" i="1"/>
  <c r="O538" i="1"/>
  <c r="D539" i="1"/>
  <c r="E539" i="1"/>
  <c r="F539" i="1"/>
  <c r="J539" i="1"/>
  <c r="M539" i="1"/>
  <c r="O539" i="1"/>
  <c r="D540" i="1"/>
  <c r="E540" i="1"/>
  <c r="F540" i="1"/>
  <c r="J540" i="1"/>
  <c r="M540" i="1"/>
  <c r="O540" i="1"/>
  <c r="D541" i="1"/>
  <c r="E541" i="1"/>
  <c r="F541" i="1"/>
  <c r="J541" i="1"/>
  <c r="M541" i="1"/>
  <c r="O541" i="1"/>
  <c r="D542" i="1"/>
  <c r="E542" i="1"/>
  <c r="F542" i="1"/>
  <c r="J542" i="1"/>
  <c r="M542" i="1"/>
  <c r="O542" i="1"/>
  <c r="D543" i="1"/>
  <c r="E543" i="1"/>
  <c r="F543" i="1"/>
  <c r="J543" i="1"/>
  <c r="M543" i="1"/>
  <c r="O543" i="1"/>
  <c r="D544" i="1"/>
  <c r="E544" i="1"/>
  <c r="F544" i="1"/>
  <c r="J544" i="1"/>
  <c r="M544" i="1"/>
  <c r="O544" i="1"/>
  <c r="D545" i="1"/>
  <c r="E545" i="1"/>
  <c r="F545" i="1"/>
  <c r="J545" i="1"/>
  <c r="M545" i="1"/>
  <c r="O545" i="1"/>
  <c r="D546" i="1"/>
  <c r="E546" i="1"/>
  <c r="F546" i="1"/>
  <c r="J546" i="1"/>
  <c r="M546" i="1"/>
  <c r="O546" i="1"/>
  <c r="D547" i="1"/>
  <c r="E547" i="1"/>
  <c r="F547" i="1"/>
  <c r="J547" i="1"/>
  <c r="M547" i="1"/>
  <c r="O547" i="1"/>
  <c r="D548" i="1"/>
  <c r="E548" i="1"/>
  <c r="F548" i="1"/>
  <c r="J548" i="1"/>
  <c r="M548" i="1"/>
  <c r="O548" i="1"/>
  <c r="D549" i="1"/>
  <c r="E549" i="1"/>
  <c r="F549" i="1"/>
  <c r="J549" i="1"/>
  <c r="M549" i="1"/>
  <c r="O549" i="1"/>
  <c r="D550" i="1"/>
  <c r="E550" i="1"/>
  <c r="F550" i="1"/>
  <c r="J550" i="1"/>
  <c r="M550" i="1"/>
  <c r="O550" i="1"/>
  <c r="D551" i="1"/>
  <c r="E551" i="1"/>
  <c r="F551" i="1"/>
  <c r="J551" i="1"/>
  <c r="M551" i="1"/>
  <c r="O551" i="1"/>
  <c r="D552" i="1"/>
  <c r="E552" i="1"/>
  <c r="F552" i="1"/>
  <c r="J552" i="1"/>
  <c r="M552" i="1"/>
  <c r="O552" i="1"/>
  <c r="D553" i="1"/>
  <c r="E553" i="1"/>
  <c r="F553" i="1"/>
  <c r="J553" i="1"/>
  <c r="M553" i="1"/>
  <c r="O553" i="1"/>
  <c r="D554" i="1"/>
  <c r="E554" i="1"/>
  <c r="F554" i="1"/>
  <c r="J554" i="1"/>
  <c r="M554" i="1"/>
  <c r="O554" i="1"/>
  <c r="D555" i="1"/>
  <c r="E555" i="1"/>
  <c r="F555" i="1"/>
  <c r="J555" i="1"/>
  <c r="M555" i="1"/>
  <c r="O555" i="1"/>
  <c r="D556" i="1"/>
  <c r="E556" i="1"/>
  <c r="F556" i="1"/>
  <c r="J556" i="1"/>
  <c r="M556" i="1"/>
  <c r="O556" i="1"/>
  <c r="D557" i="1"/>
  <c r="E557" i="1"/>
  <c r="F557" i="1"/>
  <c r="J557" i="1"/>
  <c r="M557" i="1"/>
  <c r="O557" i="1"/>
  <c r="D558" i="1"/>
  <c r="E558" i="1"/>
  <c r="F558" i="1"/>
  <c r="J558" i="1"/>
  <c r="M558" i="1"/>
  <c r="O558" i="1"/>
  <c r="D559" i="1"/>
  <c r="E559" i="1"/>
  <c r="F559" i="1"/>
  <c r="J559" i="1"/>
  <c r="M559" i="1"/>
  <c r="O559" i="1"/>
  <c r="D560" i="1"/>
  <c r="E560" i="1"/>
  <c r="F560" i="1"/>
  <c r="J560" i="1"/>
  <c r="M560" i="1"/>
  <c r="O560" i="1"/>
  <c r="D561" i="1"/>
  <c r="E561" i="1"/>
  <c r="F561" i="1"/>
  <c r="J561" i="1"/>
  <c r="M561" i="1"/>
  <c r="O561" i="1"/>
  <c r="D562" i="1"/>
  <c r="E562" i="1"/>
  <c r="F562" i="1"/>
  <c r="J562" i="1"/>
  <c r="M562" i="1"/>
  <c r="O562" i="1"/>
  <c r="D563" i="1"/>
  <c r="E563" i="1"/>
  <c r="F563" i="1"/>
  <c r="J563" i="1"/>
  <c r="M563" i="1"/>
  <c r="O563" i="1"/>
  <c r="D564" i="1"/>
  <c r="E564" i="1"/>
  <c r="F564" i="1"/>
  <c r="J564" i="1"/>
  <c r="M564" i="1"/>
  <c r="O564" i="1"/>
  <c r="D565" i="1"/>
  <c r="E565" i="1"/>
  <c r="F565" i="1"/>
  <c r="J565" i="1"/>
  <c r="M565" i="1"/>
  <c r="O565" i="1"/>
  <c r="D566" i="1"/>
  <c r="E566" i="1"/>
  <c r="F566" i="1"/>
  <c r="J566" i="1"/>
  <c r="M566" i="1"/>
  <c r="O566" i="1"/>
  <c r="D567" i="1"/>
  <c r="E567" i="1"/>
  <c r="F567" i="1"/>
  <c r="J567" i="1"/>
  <c r="M567" i="1"/>
  <c r="O567" i="1"/>
  <c r="D568" i="1"/>
  <c r="E568" i="1"/>
  <c r="F568" i="1"/>
  <c r="J568" i="1"/>
  <c r="M568" i="1"/>
  <c r="O568" i="1"/>
  <c r="D569" i="1"/>
  <c r="E569" i="1"/>
  <c r="F569" i="1"/>
  <c r="J569" i="1"/>
  <c r="M569" i="1"/>
  <c r="O569" i="1"/>
  <c r="D570" i="1"/>
  <c r="E570" i="1"/>
  <c r="F570" i="1"/>
  <c r="J570" i="1"/>
  <c r="M570" i="1"/>
  <c r="O570" i="1"/>
  <c r="D571" i="1"/>
  <c r="E571" i="1"/>
  <c r="F571" i="1"/>
  <c r="J571" i="1"/>
  <c r="M571" i="1"/>
  <c r="O571" i="1"/>
  <c r="D572" i="1"/>
  <c r="E572" i="1"/>
  <c r="F572" i="1"/>
  <c r="J572" i="1"/>
  <c r="M572" i="1"/>
  <c r="O572" i="1"/>
  <c r="D573" i="1"/>
  <c r="E573" i="1"/>
  <c r="F573" i="1"/>
  <c r="J573" i="1"/>
  <c r="M573" i="1"/>
  <c r="O573" i="1"/>
  <c r="D574" i="1"/>
  <c r="E574" i="1"/>
  <c r="F574" i="1"/>
  <c r="J574" i="1"/>
  <c r="M574" i="1"/>
  <c r="O574" i="1"/>
  <c r="D575" i="1"/>
  <c r="E575" i="1"/>
  <c r="F575" i="1"/>
  <c r="J575" i="1"/>
  <c r="M575" i="1"/>
  <c r="O575" i="1"/>
  <c r="D576" i="1"/>
  <c r="E576" i="1"/>
  <c r="F576" i="1"/>
  <c r="J576" i="1"/>
  <c r="M576" i="1"/>
  <c r="O576" i="1"/>
  <c r="D577" i="1"/>
  <c r="E577" i="1"/>
  <c r="F577" i="1"/>
  <c r="J577" i="1"/>
  <c r="M577" i="1"/>
  <c r="O577" i="1"/>
  <c r="D578" i="1"/>
  <c r="E578" i="1"/>
  <c r="F578" i="1"/>
  <c r="J578" i="1"/>
  <c r="M578" i="1"/>
  <c r="O578" i="1"/>
  <c r="D579" i="1"/>
  <c r="E579" i="1"/>
  <c r="F579" i="1"/>
  <c r="J579" i="1"/>
  <c r="M579" i="1"/>
  <c r="O579" i="1"/>
  <c r="D580" i="1"/>
  <c r="E580" i="1"/>
  <c r="F580" i="1"/>
  <c r="J580" i="1"/>
  <c r="M580" i="1"/>
  <c r="O580" i="1"/>
  <c r="D581" i="1"/>
  <c r="E581" i="1"/>
  <c r="F581" i="1"/>
  <c r="J581" i="1"/>
  <c r="M581" i="1"/>
  <c r="O581" i="1"/>
  <c r="D582" i="1"/>
  <c r="E582" i="1"/>
  <c r="F582" i="1"/>
  <c r="J582" i="1"/>
  <c r="M582" i="1"/>
  <c r="O582" i="1"/>
  <c r="D583" i="1"/>
  <c r="E583" i="1"/>
  <c r="F583" i="1"/>
  <c r="J583" i="1"/>
  <c r="M583" i="1"/>
  <c r="O583" i="1"/>
  <c r="D584" i="1"/>
  <c r="E584" i="1"/>
  <c r="F584" i="1"/>
  <c r="J584" i="1"/>
  <c r="M584" i="1"/>
  <c r="O584" i="1"/>
  <c r="D585" i="1"/>
  <c r="E585" i="1"/>
  <c r="F585" i="1"/>
  <c r="J585" i="1"/>
  <c r="M585" i="1"/>
  <c r="O585" i="1"/>
  <c r="D586" i="1"/>
  <c r="E586" i="1"/>
  <c r="F586" i="1"/>
  <c r="J586" i="1"/>
  <c r="M586" i="1"/>
  <c r="O586" i="1"/>
  <c r="D587" i="1"/>
  <c r="E587" i="1"/>
  <c r="F587" i="1"/>
  <c r="J587" i="1"/>
  <c r="M587" i="1"/>
  <c r="O587" i="1"/>
  <c r="D588" i="1"/>
  <c r="E588" i="1"/>
  <c r="F588" i="1"/>
  <c r="J588" i="1"/>
  <c r="M588" i="1"/>
  <c r="O588" i="1"/>
  <c r="D589" i="1"/>
  <c r="E589" i="1"/>
  <c r="F589" i="1"/>
  <c r="J589" i="1"/>
  <c r="M589" i="1"/>
  <c r="O589" i="1"/>
  <c r="D590" i="1"/>
  <c r="E590" i="1"/>
  <c r="F590" i="1"/>
  <c r="J590" i="1"/>
  <c r="M590" i="1"/>
  <c r="O590" i="1"/>
  <c r="D591" i="1"/>
  <c r="E591" i="1"/>
  <c r="F591" i="1"/>
  <c r="J591" i="1"/>
  <c r="M591" i="1"/>
  <c r="O591" i="1"/>
  <c r="D592" i="1"/>
  <c r="E592" i="1"/>
  <c r="F592" i="1"/>
  <c r="J592" i="1"/>
  <c r="M592" i="1"/>
  <c r="O592" i="1"/>
  <c r="D593" i="1"/>
  <c r="E593" i="1"/>
  <c r="F593" i="1"/>
  <c r="J593" i="1"/>
  <c r="M593" i="1"/>
  <c r="O593" i="1"/>
  <c r="D594" i="1"/>
  <c r="E594" i="1"/>
  <c r="F594" i="1"/>
  <c r="J594" i="1"/>
  <c r="M594" i="1"/>
  <c r="O594" i="1"/>
  <c r="D595" i="1"/>
  <c r="E595" i="1"/>
  <c r="F595" i="1"/>
  <c r="J595" i="1"/>
  <c r="M595" i="1"/>
  <c r="O595" i="1"/>
  <c r="D596" i="1"/>
  <c r="E596" i="1"/>
  <c r="F596" i="1"/>
  <c r="J596" i="1"/>
  <c r="M596" i="1"/>
  <c r="O596" i="1"/>
  <c r="D597" i="1"/>
  <c r="E597" i="1"/>
  <c r="F597" i="1"/>
  <c r="J597" i="1"/>
  <c r="M597" i="1"/>
  <c r="O597" i="1"/>
  <c r="D598" i="1"/>
  <c r="E598" i="1"/>
  <c r="F598" i="1"/>
  <c r="J598" i="1"/>
  <c r="M598" i="1"/>
  <c r="O598" i="1"/>
  <c r="D599" i="1"/>
  <c r="E599" i="1"/>
  <c r="F599" i="1"/>
  <c r="J599" i="1"/>
  <c r="M599" i="1"/>
  <c r="O599" i="1"/>
  <c r="D600" i="1"/>
  <c r="E600" i="1"/>
  <c r="F600" i="1"/>
  <c r="J600" i="1"/>
  <c r="M600" i="1"/>
  <c r="O600" i="1"/>
  <c r="D601" i="1"/>
  <c r="E601" i="1"/>
  <c r="F601" i="1"/>
  <c r="J601" i="1"/>
  <c r="M601" i="1"/>
  <c r="O601" i="1"/>
  <c r="D602" i="1"/>
  <c r="E602" i="1"/>
  <c r="F602" i="1"/>
  <c r="J602" i="1"/>
  <c r="M602" i="1"/>
  <c r="O602" i="1"/>
  <c r="D603" i="1"/>
  <c r="E603" i="1"/>
  <c r="F603" i="1"/>
  <c r="J603" i="1"/>
  <c r="M603" i="1"/>
  <c r="O603" i="1"/>
  <c r="D604" i="1"/>
  <c r="E604" i="1"/>
  <c r="F604" i="1"/>
  <c r="I604" i="1"/>
  <c r="J604" i="1"/>
  <c r="M604" i="1"/>
  <c r="O604" i="1"/>
  <c r="D605" i="1"/>
  <c r="E605" i="1"/>
  <c r="F605" i="1"/>
  <c r="J605" i="1"/>
  <c r="M605" i="1"/>
  <c r="O605" i="1"/>
  <c r="D606" i="1"/>
  <c r="E606" i="1"/>
  <c r="F606" i="1"/>
  <c r="J606" i="1"/>
  <c r="M606" i="1"/>
  <c r="O606" i="1"/>
  <c r="D607" i="1"/>
  <c r="E607" i="1"/>
  <c r="F607" i="1"/>
  <c r="J607" i="1"/>
  <c r="M607" i="1"/>
  <c r="O607" i="1"/>
  <c r="D608" i="1"/>
  <c r="E608" i="1"/>
  <c r="F608" i="1"/>
  <c r="J608" i="1"/>
  <c r="M608" i="1"/>
  <c r="O608" i="1"/>
  <c r="D609" i="1"/>
  <c r="E609" i="1"/>
  <c r="F609" i="1"/>
  <c r="J609" i="1"/>
  <c r="M609" i="1"/>
  <c r="O609" i="1"/>
  <c r="D610" i="1"/>
  <c r="E610" i="1"/>
  <c r="F610" i="1"/>
  <c r="J610" i="1"/>
  <c r="M610" i="1"/>
  <c r="O610" i="1"/>
  <c r="D611" i="1"/>
  <c r="E611" i="1"/>
  <c r="F611" i="1"/>
  <c r="J611" i="1"/>
  <c r="M611" i="1"/>
  <c r="O611" i="1"/>
  <c r="D612" i="1"/>
  <c r="E612" i="1"/>
  <c r="F612" i="1"/>
  <c r="J612" i="1"/>
  <c r="M612" i="1"/>
  <c r="O612" i="1"/>
  <c r="D613" i="1"/>
  <c r="E613" i="1"/>
  <c r="F613" i="1"/>
  <c r="J613" i="1"/>
  <c r="M613" i="1"/>
  <c r="O613" i="1"/>
  <c r="D614" i="1"/>
  <c r="E614" i="1"/>
  <c r="F614" i="1"/>
  <c r="J614" i="1"/>
  <c r="M614" i="1"/>
  <c r="O614" i="1"/>
  <c r="D615" i="1"/>
  <c r="E615" i="1"/>
  <c r="F615" i="1"/>
  <c r="J615" i="1"/>
  <c r="M615" i="1"/>
  <c r="O615" i="1"/>
  <c r="D616" i="1"/>
  <c r="E616" i="1"/>
  <c r="F616" i="1"/>
  <c r="J616" i="1"/>
  <c r="M616" i="1"/>
  <c r="O616" i="1"/>
  <c r="D617" i="1"/>
  <c r="E617" i="1"/>
  <c r="F617" i="1"/>
  <c r="J617" i="1"/>
  <c r="M617" i="1"/>
  <c r="O617" i="1"/>
  <c r="D618" i="1"/>
  <c r="E618" i="1"/>
  <c r="F618" i="1"/>
  <c r="J618" i="1"/>
  <c r="M618" i="1"/>
  <c r="O618" i="1"/>
  <c r="D619" i="1"/>
  <c r="E619" i="1"/>
  <c r="F619" i="1"/>
  <c r="J619" i="1"/>
  <c r="M619" i="1"/>
  <c r="O619" i="1"/>
  <c r="D620" i="1"/>
  <c r="E620" i="1"/>
  <c r="F620" i="1"/>
  <c r="J620" i="1"/>
  <c r="M620" i="1"/>
  <c r="O620" i="1"/>
  <c r="D621" i="1"/>
  <c r="E621" i="1"/>
  <c r="F621" i="1"/>
  <c r="J621" i="1"/>
  <c r="M621" i="1"/>
  <c r="O621" i="1"/>
  <c r="D622" i="1"/>
  <c r="E622" i="1"/>
  <c r="F622" i="1"/>
  <c r="J622" i="1"/>
  <c r="M622" i="1"/>
  <c r="O622" i="1"/>
  <c r="D623" i="1"/>
  <c r="E623" i="1"/>
  <c r="F623" i="1"/>
  <c r="J623" i="1"/>
  <c r="M623" i="1"/>
  <c r="O623" i="1"/>
  <c r="D624" i="1"/>
  <c r="E624" i="1"/>
  <c r="F624" i="1"/>
  <c r="J624" i="1"/>
  <c r="M624" i="1"/>
  <c r="O624" i="1"/>
  <c r="D625" i="1"/>
  <c r="E625" i="1"/>
  <c r="F625" i="1"/>
  <c r="J625" i="1"/>
  <c r="M625" i="1"/>
  <c r="O625" i="1"/>
  <c r="D626" i="1"/>
  <c r="E626" i="1"/>
  <c r="F626" i="1"/>
  <c r="J626" i="1"/>
  <c r="M626" i="1"/>
  <c r="O626" i="1"/>
  <c r="D627" i="1"/>
  <c r="E627" i="1"/>
  <c r="F627" i="1"/>
  <c r="J627" i="1"/>
  <c r="M627" i="1"/>
  <c r="O627" i="1"/>
  <c r="D628" i="1"/>
  <c r="E628" i="1"/>
  <c r="F628" i="1"/>
  <c r="J628" i="1"/>
  <c r="M628" i="1"/>
  <c r="O628" i="1"/>
  <c r="D629" i="1"/>
  <c r="E629" i="1"/>
  <c r="F629" i="1"/>
  <c r="J629" i="1"/>
  <c r="M629" i="1"/>
  <c r="O629" i="1"/>
  <c r="D630" i="1"/>
  <c r="E630" i="1"/>
  <c r="F630" i="1"/>
  <c r="J630" i="1"/>
  <c r="M630" i="1"/>
  <c r="O630" i="1"/>
  <c r="D631" i="1"/>
  <c r="E631" i="1"/>
  <c r="F631" i="1"/>
  <c r="J631" i="1"/>
  <c r="M631" i="1"/>
  <c r="O631" i="1"/>
  <c r="D632" i="1"/>
  <c r="E632" i="1"/>
  <c r="F632" i="1"/>
  <c r="J632" i="1"/>
  <c r="M632" i="1"/>
  <c r="O632" i="1"/>
  <c r="D633" i="1"/>
  <c r="E633" i="1"/>
  <c r="F633" i="1"/>
  <c r="J633" i="1"/>
  <c r="M633" i="1"/>
  <c r="O633" i="1"/>
  <c r="D634" i="1"/>
  <c r="E634" i="1"/>
  <c r="F634" i="1"/>
  <c r="J634" i="1"/>
  <c r="M634" i="1"/>
  <c r="O634" i="1"/>
  <c r="D635" i="1"/>
  <c r="E635" i="1"/>
  <c r="F635" i="1"/>
  <c r="J635" i="1"/>
  <c r="M635" i="1"/>
  <c r="O635" i="1"/>
  <c r="D636" i="1"/>
  <c r="E636" i="1"/>
  <c r="F636" i="1"/>
  <c r="J636" i="1"/>
  <c r="M636" i="1"/>
  <c r="O636" i="1"/>
  <c r="D637" i="1"/>
  <c r="E637" i="1"/>
  <c r="F637" i="1"/>
  <c r="J637" i="1"/>
  <c r="M637" i="1"/>
  <c r="O637" i="1"/>
  <c r="D638" i="1"/>
  <c r="E638" i="1"/>
  <c r="F638" i="1"/>
  <c r="J638" i="1"/>
  <c r="M638" i="1"/>
  <c r="O638" i="1"/>
  <c r="D639" i="1"/>
  <c r="E639" i="1"/>
  <c r="F639" i="1"/>
  <c r="J639" i="1"/>
  <c r="M639" i="1"/>
  <c r="O639" i="1"/>
  <c r="D640" i="1"/>
  <c r="E640" i="1"/>
  <c r="F640" i="1"/>
  <c r="J640" i="1"/>
  <c r="M640" i="1"/>
  <c r="O640" i="1"/>
  <c r="D641" i="1"/>
  <c r="E641" i="1"/>
  <c r="F641" i="1"/>
  <c r="J641" i="1"/>
  <c r="M641" i="1"/>
  <c r="O641" i="1"/>
  <c r="D642" i="1"/>
  <c r="E642" i="1"/>
  <c r="F642" i="1"/>
  <c r="J642" i="1"/>
  <c r="M642" i="1"/>
  <c r="O642" i="1"/>
  <c r="D643" i="1"/>
  <c r="E643" i="1"/>
  <c r="F643" i="1"/>
  <c r="J643" i="1"/>
  <c r="M643" i="1"/>
  <c r="O643" i="1"/>
  <c r="D644" i="1"/>
  <c r="E644" i="1"/>
  <c r="F644" i="1"/>
  <c r="J644" i="1"/>
  <c r="M644" i="1"/>
  <c r="O644" i="1"/>
  <c r="D645" i="1"/>
  <c r="E645" i="1"/>
  <c r="F645" i="1"/>
  <c r="J645" i="1"/>
  <c r="M645" i="1"/>
  <c r="O645" i="1"/>
  <c r="D646" i="1"/>
  <c r="E646" i="1"/>
  <c r="F646" i="1"/>
  <c r="J646" i="1"/>
  <c r="M646" i="1"/>
  <c r="O646" i="1"/>
  <c r="D647" i="1"/>
  <c r="E647" i="1"/>
  <c r="F647" i="1"/>
  <c r="J647" i="1"/>
  <c r="M647" i="1"/>
  <c r="O647" i="1"/>
  <c r="D648" i="1"/>
  <c r="E648" i="1"/>
  <c r="F648" i="1"/>
  <c r="J648" i="1"/>
  <c r="M648" i="1"/>
  <c r="O648" i="1"/>
  <c r="D649" i="1"/>
  <c r="E649" i="1"/>
  <c r="F649" i="1"/>
  <c r="J649" i="1"/>
  <c r="M649" i="1"/>
  <c r="O649" i="1"/>
  <c r="D650" i="1"/>
  <c r="E650" i="1"/>
  <c r="F650" i="1"/>
  <c r="J650" i="1"/>
  <c r="M650" i="1"/>
  <c r="O650" i="1"/>
  <c r="D651" i="1"/>
  <c r="E651" i="1"/>
  <c r="F651" i="1"/>
  <c r="J651" i="1"/>
  <c r="M651" i="1"/>
  <c r="O651" i="1"/>
  <c r="D652" i="1"/>
  <c r="E652" i="1"/>
  <c r="F652" i="1"/>
  <c r="J652" i="1"/>
  <c r="M652" i="1"/>
  <c r="O652" i="1"/>
  <c r="D653" i="1"/>
  <c r="E653" i="1"/>
  <c r="F653" i="1"/>
  <c r="J653" i="1"/>
  <c r="M653" i="1"/>
  <c r="O653" i="1"/>
  <c r="D654" i="1"/>
  <c r="E654" i="1"/>
  <c r="F654" i="1"/>
  <c r="J654" i="1"/>
  <c r="M654" i="1"/>
  <c r="O654" i="1"/>
  <c r="D655" i="1"/>
  <c r="E655" i="1"/>
  <c r="F655" i="1"/>
  <c r="J655" i="1"/>
  <c r="M655" i="1"/>
  <c r="O655" i="1"/>
  <c r="D656" i="1"/>
  <c r="E656" i="1"/>
  <c r="F656" i="1"/>
  <c r="J656" i="1"/>
  <c r="M656" i="1"/>
  <c r="O656" i="1"/>
  <c r="D657" i="1"/>
  <c r="E657" i="1"/>
  <c r="F657" i="1"/>
  <c r="J657" i="1"/>
  <c r="M657" i="1"/>
  <c r="O657" i="1"/>
  <c r="D658" i="1"/>
  <c r="E658" i="1"/>
  <c r="F658" i="1"/>
  <c r="J658" i="1"/>
  <c r="M658" i="1"/>
  <c r="O658" i="1"/>
  <c r="D659" i="1"/>
  <c r="E659" i="1"/>
  <c r="F659" i="1"/>
  <c r="J659" i="1"/>
  <c r="M659" i="1"/>
  <c r="O659" i="1"/>
  <c r="D660" i="1"/>
  <c r="E660" i="1"/>
  <c r="F660" i="1"/>
  <c r="J660" i="1"/>
  <c r="M660" i="1"/>
  <c r="O660" i="1"/>
  <c r="D661" i="1"/>
  <c r="E661" i="1"/>
  <c r="F661" i="1"/>
  <c r="J661" i="1"/>
  <c r="M661" i="1"/>
  <c r="O661" i="1"/>
  <c r="D662" i="1"/>
  <c r="E662" i="1"/>
  <c r="F662" i="1"/>
  <c r="J662" i="1"/>
  <c r="M662" i="1"/>
  <c r="O662" i="1"/>
  <c r="D663" i="1"/>
  <c r="E663" i="1"/>
  <c r="F663" i="1"/>
  <c r="J663" i="1"/>
  <c r="M663" i="1"/>
  <c r="O663" i="1"/>
  <c r="D664" i="1"/>
  <c r="E664" i="1"/>
  <c r="F664" i="1"/>
  <c r="J664" i="1"/>
  <c r="M664" i="1"/>
  <c r="O664" i="1"/>
  <c r="D665" i="1"/>
  <c r="E665" i="1"/>
  <c r="F665" i="1"/>
  <c r="J665" i="1"/>
  <c r="M665" i="1"/>
  <c r="O665" i="1"/>
  <c r="D666" i="1"/>
  <c r="E666" i="1"/>
  <c r="F666" i="1"/>
  <c r="J666" i="1"/>
  <c r="M666" i="1"/>
  <c r="O666" i="1"/>
  <c r="D667" i="1"/>
  <c r="E667" i="1"/>
  <c r="F667" i="1"/>
  <c r="J667" i="1"/>
  <c r="M667" i="1"/>
  <c r="O667" i="1"/>
  <c r="D668" i="1"/>
  <c r="E668" i="1"/>
  <c r="F668" i="1"/>
  <c r="J668" i="1"/>
  <c r="M668" i="1"/>
  <c r="O668" i="1"/>
  <c r="D669" i="1"/>
  <c r="E669" i="1"/>
  <c r="F669" i="1"/>
  <c r="J669" i="1"/>
  <c r="M669" i="1"/>
  <c r="O669" i="1"/>
  <c r="D670" i="1"/>
  <c r="E670" i="1"/>
  <c r="F670" i="1"/>
  <c r="J670" i="1"/>
  <c r="M670" i="1"/>
  <c r="O670" i="1"/>
  <c r="D671" i="1"/>
  <c r="E671" i="1"/>
  <c r="F671" i="1"/>
  <c r="J671" i="1"/>
  <c r="M671" i="1"/>
  <c r="O671" i="1"/>
  <c r="D672" i="1"/>
  <c r="E672" i="1"/>
  <c r="F672" i="1"/>
  <c r="J672" i="1"/>
  <c r="M672" i="1"/>
  <c r="O672" i="1"/>
  <c r="D673" i="1"/>
  <c r="E673" i="1"/>
  <c r="F673" i="1"/>
  <c r="J673" i="1"/>
  <c r="M673" i="1"/>
  <c r="O673" i="1"/>
  <c r="D674" i="1"/>
  <c r="E674" i="1"/>
  <c r="F674" i="1"/>
  <c r="J674" i="1"/>
  <c r="M674" i="1"/>
  <c r="O674" i="1"/>
  <c r="D675" i="1"/>
  <c r="E675" i="1"/>
  <c r="F675" i="1"/>
  <c r="J675" i="1"/>
  <c r="M675" i="1"/>
  <c r="O675" i="1"/>
  <c r="D676" i="1"/>
  <c r="E676" i="1"/>
  <c r="F676" i="1"/>
  <c r="J676" i="1"/>
  <c r="M676" i="1"/>
  <c r="O676" i="1"/>
  <c r="D677" i="1"/>
  <c r="E677" i="1"/>
  <c r="F677" i="1"/>
  <c r="J677" i="1"/>
  <c r="M677" i="1"/>
  <c r="O677" i="1"/>
  <c r="D678" i="1"/>
  <c r="E678" i="1"/>
  <c r="F678" i="1"/>
  <c r="J678" i="1"/>
  <c r="M678" i="1"/>
  <c r="O678" i="1"/>
  <c r="D679" i="1"/>
  <c r="E679" i="1"/>
  <c r="F679" i="1"/>
  <c r="J679" i="1"/>
  <c r="M679" i="1"/>
  <c r="O679" i="1"/>
  <c r="D680" i="1"/>
  <c r="E680" i="1"/>
  <c r="F680" i="1"/>
  <c r="J680" i="1"/>
  <c r="M680" i="1"/>
  <c r="O680" i="1"/>
  <c r="D681" i="1"/>
  <c r="E681" i="1"/>
  <c r="F681" i="1"/>
  <c r="J681" i="1"/>
  <c r="M681" i="1"/>
  <c r="O681" i="1"/>
  <c r="D682" i="1"/>
  <c r="E682" i="1"/>
  <c r="F682" i="1"/>
  <c r="J682" i="1"/>
  <c r="M682" i="1"/>
  <c r="O682" i="1"/>
  <c r="D683" i="1"/>
  <c r="E683" i="1"/>
  <c r="F683" i="1"/>
  <c r="J683" i="1"/>
  <c r="M683" i="1"/>
  <c r="O683" i="1"/>
  <c r="D684" i="1"/>
  <c r="E684" i="1"/>
  <c r="F684" i="1"/>
  <c r="J684" i="1"/>
  <c r="M684" i="1"/>
  <c r="O684" i="1"/>
  <c r="D685" i="1"/>
  <c r="E685" i="1"/>
  <c r="F685" i="1"/>
  <c r="J685" i="1"/>
  <c r="M685" i="1"/>
  <c r="O685" i="1"/>
  <c r="D686" i="1"/>
  <c r="E686" i="1"/>
  <c r="F686" i="1"/>
  <c r="J686" i="1"/>
  <c r="M686" i="1"/>
  <c r="O686" i="1"/>
  <c r="D687" i="1"/>
  <c r="E687" i="1"/>
  <c r="F687" i="1"/>
  <c r="J687" i="1"/>
  <c r="M687" i="1"/>
  <c r="O687" i="1"/>
  <c r="D688" i="1"/>
  <c r="E688" i="1"/>
  <c r="F688" i="1"/>
  <c r="J688" i="1"/>
  <c r="M688" i="1"/>
  <c r="O688" i="1"/>
  <c r="D689" i="1"/>
  <c r="E689" i="1"/>
  <c r="F689" i="1"/>
  <c r="J689" i="1"/>
  <c r="M689" i="1"/>
  <c r="O689" i="1"/>
  <c r="D690" i="1"/>
  <c r="E690" i="1"/>
  <c r="F690" i="1"/>
  <c r="J690" i="1"/>
  <c r="M690" i="1"/>
  <c r="O690" i="1"/>
  <c r="D691" i="1"/>
  <c r="E691" i="1"/>
  <c r="F691" i="1"/>
  <c r="J691" i="1"/>
  <c r="M691" i="1"/>
  <c r="O691" i="1"/>
  <c r="D692" i="1"/>
  <c r="E692" i="1"/>
  <c r="F692" i="1"/>
  <c r="J692" i="1"/>
  <c r="M692" i="1"/>
  <c r="O692" i="1"/>
  <c r="D693" i="1"/>
  <c r="E693" i="1"/>
  <c r="F693" i="1"/>
  <c r="J693" i="1"/>
  <c r="M693" i="1"/>
  <c r="O693" i="1"/>
  <c r="D694" i="1"/>
  <c r="E694" i="1"/>
  <c r="F694" i="1"/>
  <c r="J694" i="1"/>
  <c r="M694" i="1"/>
  <c r="O694" i="1"/>
  <c r="D695" i="1"/>
  <c r="E695" i="1"/>
  <c r="F695" i="1"/>
  <c r="J695" i="1"/>
  <c r="M695" i="1"/>
  <c r="O695" i="1"/>
  <c r="D696" i="1"/>
  <c r="E696" i="1"/>
  <c r="F696" i="1"/>
  <c r="J696" i="1"/>
  <c r="M696" i="1"/>
  <c r="O696" i="1"/>
  <c r="D697" i="1"/>
  <c r="E697" i="1"/>
  <c r="F697" i="1"/>
  <c r="J697" i="1"/>
  <c r="M697" i="1"/>
  <c r="O697" i="1"/>
  <c r="D698" i="1"/>
  <c r="E698" i="1"/>
  <c r="F698" i="1"/>
  <c r="J698" i="1"/>
  <c r="M698" i="1"/>
  <c r="O698" i="1"/>
  <c r="D699" i="1"/>
  <c r="E699" i="1"/>
  <c r="F699" i="1"/>
  <c r="J699" i="1"/>
  <c r="M699" i="1"/>
  <c r="O699" i="1"/>
  <c r="D700" i="1"/>
  <c r="E700" i="1"/>
  <c r="F700" i="1"/>
  <c r="J700" i="1"/>
  <c r="M700" i="1"/>
  <c r="O700" i="1"/>
  <c r="D701" i="1"/>
  <c r="E701" i="1"/>
  <c r="F701" i="1"/>
  <c r="J701" i="1"/>
  <c r="M701" i="1"/>
  <c r="O701" i="1"/>
  <c r="D702" i="1"/>
  <c r="E702" i="1"/>
  <c r="F702" i="1"/>
  <c r="J702" i="1"/>
  <c r="M702" i="1"/>
  <c r="O702" i="1"/>
  <c r="D703" i="1"/>
  <c r="E703" i="1"/>
  <c r="F703" i="1"/>
  <c r="J703" i="1"/>
  <c r="M703" i="1"/>
  <c r="O703" i="1"/>
  <c r="D704" i="1"/>
  <c r="E704" i="1"/>
  <c r="F704" i="1"/>
  <c r="J704" i="1"/>
  <c r="M704" i="1"/>
  <c r="O704" i="1"/>
  <c r="D705" i="1"/>
  <c r="E705" i="1"/>
  <c r="F705" i="1"/>
  <c r="J705" i="1"/>
  <c r="M705" i="1"/>
  <c r="O705" i="1"/>
  <c r="D706" i="1"/>
  <c r="E706" i="1"/>
  <c r="F706" i="1"/>
  <c r="J706" i="1"/>
  <c r="M706" i="1"/>
  <c r="O706" i="1"/>
  <c r="D707" i="1"/>
  <c r="E707" i="1"/>
  <c r="F707" i="1"/>
  <c r="J707" i="1"/>
  <c r="M707" i="1"/>
  <c r="O707" i="1"/>
  <c r="D708" i="1"/>
  <c r="E708" i="1"/>
  <c r="F708" i="1"/>
  <c r="J708" i="1"/>
  <c r="M708" i="1"/>
  <c r="O708" i="1"/>
  <c r="D709" i="1"/>
  <c r="E709" i="1"/>
  <c r="F709" i="1"/>
  <c r="J709" i="1"/>
  <c r="M709" i="1"/>
  <c r="O709" i="1"/>
  <c r="D710" i="1"/>
  <c r="E710" i="1"/>
  <c r="F710" i="1"/>
  <c r="J710" i="1"/>
  <c r="M710" i="1"/>
  <c r="O710" i="1"/>
  <c r="D711" i="1"/>
  <c r="E711" i="1"/>
  <c r="F711" i="1"/>
  <c r="J711" i="1"/>
  <c r="M711" i="1"/>
  <c r="O711" i="1"/>
  <c r="D712" i="1"/>
  <c r="E712" i="1"/>
  <c r="F712" i="1"/>
  <c r="J712" i="1"/>
  <c r="M712" i="1"/>
  <c r="O712" i="1"/>
  <c r="D713" i="1"/>
  <c r="E713" i="1"/>
  <c r="F713" i="1"/>
  <c r="J713" i="1"/>
  <c r="M713" i="1"/>
  <c r="O713" i="1"/>
  <c r="D714" i="1"/>
  <c r="E714" i="1"/>
  <c r="F714" i="1"/>
  <c r="J714" i="1"/>
  <c r="M714" i="1"/>
  <c r="O714" i="1"/>
  <c r="D715" i="1"/>
  <c r="E715" i="1"/>
  <c r="F715" i="1"/>
  <c r="J715" i="1"/>
  <c r="M715" i="1"/>
  <c r="O715" i="1"/>
  <c r="D716" i="1"/>
  <c r="E716" i="1"/>
  <c r="F716" i="1"/>
  <c r="J716" i="1"/>
  <c r="M716" i="1"/>
  <c r="O716" i="1"/>
  <c r="D717" i="1"/>
  <c r="E717" i="1"/>
  <c r="F717" i="1"/>
  <c r="J717" i="1"/>
  <c r="M717" i="1"/>
  <c r="O717" i="1"/>
  <c r="D718" i="1"/>
  <c r="E718" i="1"/>
  <c r="F718" i="1"/>
  <c r="J718" i="1"/>
  <c r="M718" i="1"/>
  <c r="O718" i="1"/>
  <c r="D719" i="1"/>
  <c r="E719" i="1"/>
  <c r="F719" i="1"/>
  <c r="J719" i="1"/>
  <c r="M719" i="1"/>
  <c r="O719" i="1"/>
  <c r="D720" i="1"/>
  <c r="E720" i="1"/>
  <c r="F720" i="1"/>
  <c r="J720" i="1"/>
  <c r="M720" i="1"/>
  <c r="O720" i="1"/>
  <c r="D721" i="1"/>
  <c r="E721" i="1"/>
  <c r="F721" i="1"/>
  <c r="J721" i="1"/>
  <c r="M721" i="1"/>
  <c r="O721" i="1"/>
  <c r="D722" i="1"/>
  <c r="E722" i="1"/>
  <c r="F722" i="1"/>
  <c r="J722" i="1"/>
  <c r="M722" i="1"/>
  <c r="O722" i="1"/>
  <c r="D723" i="1"/>
  <c r="E723" i="1"/>
  <c r="F723" i="1"/>
  <c r="J723" i="1"/>
  <c r="M723" i="1"/>
  <c r="O723" i="1"/>
  <c r="D724" i="1"/>
  <c r="E724" i="1"/>
  <c r="F724" i="1"/>
  <c r="J724" i="1"/>
  <c r="M724" i="1"/>
  <c r="O724" i="1"/>
  <c r="D725" i="1"/>
  <c r="E725" i="1"/>
  <c r="F725" i="1"/>
  <c r="J725" i="1"/>
  <c r="M725" i="1"/>
  <c r="O725" i="1"/>
  <c r="D726" i="1"/>
  <c r="E726" i="1"/>
  <c r="F726" i="1"/>
  <c r="J726" i="1"/>
  <c r="M726" i="1"/>
  <c r="O726" i="1"/>
  <c r="D727" i="1"/>
  <c r="E727" i="1"/>
  <c r="F727" i="1"/>
  <c r="J727" i="1"/>
  <c r="M727" i="1"/>
  <c r="O727" i="1"/>
  <c r="D728" i="1"/>
  <c r="E728" i="1"/>
  <c r="F728" i="1"/>
  <c r="J728" i="1"/>
  <c r="M728" i="1"/>
  <c r="O728" i="1"/>
  <c r="D729" i="1"/>
  <c r="E729" i="1"/>
  <c r="F729" i="1"/>
  <c r="J729" i="1"/>
  <c r="M729" i="1"/>
  <c r="O729" i="1"/>
  <c r="D730" i="1"/>
  <c r="E730" i="1"/>
  <c r="F730" i="1"/>
  <c r="J730" i="1"/>
  <c r="M730" i="1"/>
  <c r="O730" i="1"/>
  <c r="D731" i="1"/>
  <c r="E731" i="1"/>
  <c r="F731" i="1"/>
  <c r="J731" i="1"/>
  <c r="M731" i="1"/>
  <c r="O731" i="1"/>
  <c r="D732" i="1"/>
  <c r="E732" i="1"/>
  <c r="F732" i="1"/>
  <c r="J732" i="1"/>
  <c r="M732" i="1"/>
  <c r="O732" i="1"/>
  <c r="D733" i="1"/>
  <c r="E733" i="1"/>
  <c r="F733" i="1"/>
  <c r="J733" i="1"/>
  <c r="M733" i="1"/>
  <c r="O733" i="1"/>
  <c r="D734" i="1"/>
  <c r="E734" i="1"/>
  <c r="F734" i="1"/>
  <c r="J734" i="1"/>
  <c r="M734" i="1"/>
  <c r="O734" i="1"/>
  <c r="D735" i="1"/>
  <c r="E735" i="1"/>
  <c r="F735" i="1"/>
  <c r="J735" i="1"/>
  <c r="M735" i="1"/>
  <c r="O735" i="1"/>
  <c r="D736" i="1"/>
  <c r="E736" i="1"/>
  <c r="F736" i="1"/>
  <c r="J736" i="1"/>
  <c r="M736" i="1"/>
  <c r="O736" i="1"/>
  <c r="D737" i="1"/>
  <c r="E737" i="1"/>
  <c r="F737" i="1"/>
  <c r="J737" i="1"/>
  <c r="M737" i="1"/>
  <c r="O737" i="1"/>
  <c r="D738" i="1"/>
  <c r="E738" i="1"/>
  <c r="F738" i="1"/>
  <c r="J738" i="1"/>
  <c r="M738" i="1"/>
  <c r="O738" i="1"/>
  <c r="D739" i="1"/>
  <c r="E739" i="1"/>
  <c r="F739" i="1"/>
  <c r="J739" i="1"/>
  <c r="M739" i="1"/>
  <c r="O739" i="1"/>
  <c r="D740" i="1"/>
  <c r="E740" i="1"/>
  <c r="F740" i="1"/>
  <c r="J740" i="1"/>
  <c r="M740" i="1"/>
  <c r="O740" i="1"/>
  <c r="D741" i="1"/>
  <c r="E741" i="1"/>
  <c r="F741" i="1"/>
  <c r="J741" i="1"/>
  <c r="M741" i="1"/>
  <c r="O741" i="1"/>
  <c r="D742" i="1"/>
  <c r="E742" i="1"/>
  <c r="F742" i="1"/>
  <c r="J742" i="1"/>
  <c r="M742" i="1"/>
  <c r="O742" i="1"/>
  <c r="D743" i="1"/>
  <c r="E743" i="1"/>
  <c r="F743" i="1"/>
  <c r="J743" i="1"/>
  <c r="M743" i="1"/>
  <c r="O743" i="1"/>
  <c r="D744" i="1"/>
  <c r="E744" i="1"/>
  <c r="F744" i="1"/>
  <c r="J744" i="1"/>
  <c r="M744" i="1"/>
  <c r="O744" i="1"/>
  <c r="D745" i="1"/>
  <c r="E745" i="1"/>
  <c r="F745" i="1"/>
  <c r="J745" i="1"/>
  <c r="M745" i="1"/>
  <c r="O745" i="1"/>
  <c r="D746" i="1"/>
  <c r="E746" i="1"/>
  <c r="F746" i="1"/>
  <c r="J746" i="1"/>
  <c r="M746" i="1"/>
  <c r="O746" i="1"/>
  <c r="D747" i="1"/>
  <c r="E747" i="1"/>
  <c r="F747" i="1"/>
  <c r="J747" i="1"/>
  <c r="M747" i="1"/>
  <c r="O747" i="1"/>
  <c r="D748" i="1"/>
  <c r="E748" i="1"/>
  <c r="F748" i="1"/>
  <c r="J748" i="1"/>
  <c r="M748" i="1"/>
  <c r="O748" i="1"/>
  <c r="D749" i="1"/>
  <c r="E749" i="1"/>
  <c r="F749" i="1"/>
  <c r="J749" i="1"/>
  <c r="M749" i="1"/>
  <c r="O749" i="1"/>
  <c r="D750" i="1"/>
  <c r="E750" i="1"/>
  <c r="F750" i="1"/>
  <c r="J750" i="1"/>
  <c r="M750" i="1"/>
  <c r="O750" i="1"/>
  <c r="D751" i="1"/>
  <c r="E751" i="1"/>
  <c r="F751" i="1"/>
  <c r="J751" i="1"/>
  <c r="M751" i="1"/>
  <c r="O751" i="1"/>
  <c r="D752" i="1"/>
  <c r="E752" i="1"/>
  <c r="F752" i="1"/>
  <c r="J752" i="1"/>
  <c r="M752" i="1"/>
  <c r="O752" i="1"/>
  <c r="D753" i="1"/>
  <c r="E753" i="1"/>
  <c r="F753" i="1"/>
  <c r="J753" i="1"/>
  <c r="M753" i="1"/>
  <c r="O753" i="1"/>
  <c r="D754" i="1"/>
  <c r="E754" i="1"/>
  <c r="F754" i="1"/>
  <c r="J754" i="1"/>
  <c r="M754" i="1"/>
  <c r="O754" i="1"/>
  <c r="D755" i="1"/>
  <c r="E755" i="1"/>
  <c r="F755" i="1"/>
  <c r="J755" i="1"/>
  <c r="M755" i="1"/>
  <c r="O755" i="1"/>
  <c r="D756" i="1"/>
  <c r="E756" i="1"/>
  <c r="F756" i="1"/>
  <c r="J756" i="1"/>
  <c r="M756" i="1"/>
  <c r="O756" i="1"/>
  <c r="D757" i="1"/>
  <c r="E757" i="1"/>
  <c r="F757" i="1"/>
  <c r="J757" i="1"/>
  <c r="M757" i="1"/>
  <c r="O757" i="1"/>
  <c r="D758" i="1"/>
  <c r="E758" i="1"/>
  <c r="F758" i="1"/>
  <c r="J758" i="1"/>
  <c r="M758" i="1"/>
  <c r="O758" i="1"/>
  <c r="D759" i="1"/>
  <c r="E759" i="1"/>
  <c r="F759" i="1"/>
  <c r="J759" i="1"/>
  <c r="M759" i="1"/>
  <c r="O759" i="1"/>
  <c r="D760" i="1"/>
  <c r="E760" i="1"/>
  <c r="F760" i="1"/>
  <c r="J760" i="1"/>
  <c r="M760" i="1"/>
  <c r="O760" i="1"/>
  <c r="D761" i="1"/>
  <c r="E761" i="1"/>
  <c r="F761" i="1"/>
  <c r="J761" i="1"/>
  <c r="M761" i="1"/>
  <c r="O761" i="1"/>
  <c r="D762" i="1"/>
  <c r="E762" i="1"/>
  <c r="F762" i="1"/>
  <c r="J762" i="1"/>
  <c r="M762" i="1"/>
  <c r="O762" i="1"/>
  <c r="D763" i="1"/>
  <c r="E763" i="1"/>
  <c r="F763" i="1"/>
  <c r="J763" i="1"/>
  <c r="M763" i="1"/>
  <c r="O763" i="1"/>
  <c r="D764" i="1"/>
  <c r="E764" i="1"/>
  <c r="F764" i="1"/>
  <c r="J764" i="1"/>
  <c r="M764" i="1"/>
  <c r="O764" i="1"/>
  <c r="D765" i="1"/>
  <c r="E765" i="1"/>
  <c r="F765" i="1"/>
  <c r="J765" i="1"/>
  <c r="M765" i="1"/>
  <c r="O765" i="1"/>
  <c r="D766" i="1"/>
  <c r="E766" i="1"/>
  <c r="F766" i="1"/>
  <c r="J766" i="1"/>
  <c r="M766" i="1"/>
  <c r="O766" i="1"/>
  <c r="D767" i="1"/>
  <c r="E767" i="1"/>
  <c r="F767" i="1"/>
  <c r="J767" i="1"/>
  <c r="M767" i="1"/>
  <c r="O767" i="1"/>
  <c r="D768" i="1"/>
  <c r="E768" i="1"/>
  <c r="F768" i="1"/>
  <c r="J768" i="1"/>
  <c r="M768" i="1"/>
  <c r="O768" i="1"/>
  <c r="D769" i="1"/>
  <c r="E769" i="1"/>
  <c r="F769" i="1"/>
  <c r="J769" i="1"/>
  <c r="M769" i="1"/>
  <c r="O769" i="1"/>
  <c r="D770" i="1"/>
  <c r="E770" i="1"/>
  <c r="F770" i="1"/>
  <c r="J770" i="1"/>
  <c r="M770" i="1"/>
  <c r="O770" i="1"/>
  <c r="D771" i="1"/>
  <c r="E771" i="1"/>
  <c r="F771" i="1"/>
  <c r="J771" i="1"/>
  <c r="M771" i="1"/>
  <c r="O771" i="1"/>
  <c r="D772" i="1"/>
  <c r="E772" i="1"/>
  <c r="F772" i="1"/>
  <c r="J772" i="1"/>
  <c r="M772" i="1"/>
  <c r="O772" i="1"/>
  <c r="D773" i="1"/>
  <c r="E773" i="1"/>
  <c r="F773" i="1"/>
  <c r="J773" i="1"/>
  <c r="M773" i="1"/>
  <c r="O773" i="1"/>
  <c r="D774" i="1"/>
  <c r="E774" i="1"/>
  <c r="F774" i="1"/>
  <c r="J774" i="1"/>
  <c r="M774" i="1"/>
  <c r="O774" i="1"/>
  <c r="D775" i="1"/>
  <c r="E775" i="1"/>
  <c r="F775" i="1"/>
  <c r="J775" i="1"/>
  <c r="M775" i="1"/>
  <c r="O775" i="1"/>
  <c r="D776" i="1"/>
  <c r="E776" i="1"/>
  <c r="F776" i="1"/>
  <c r="J776" i="1"/>
  <c r="M776" i="1"/>
  <c r="O776" i="1"/>
  <c r="D777" i="1"/>
  <c r="E777" i="1"/>
  <c r="F777" i="1"/>
  <c r="J777" i="1"/>
  <c r="M777" i="1"/>
  <c r="O777" i="1"/>
  <c r="D778" i="1"/>
  <c r="E778" i="1"/>
  <c r="F778" i="1"/>
  <c r="J778" i="1"/>
  <c r="M778" i="1"/>
  <c r="O778" i="1"/>
  <c r="D779" i="1"/>
  <c r="E779" i="1"/>
  <c r="F779" i="1"/>
  <c r="J779" i="1"/>
  <c r="M779" i="1"/>
  <c r="O779" i="1"/>
  <c r="D780" i="1"/>
  <c r="E780" i="1"/>
  <c r="F780" i="1"/>
  <c r="J780" i="1"/>
  <c r="M780" i="1"/>
  <c r="O780" i="1"/>
  <c r="D781" i="1"/>
  <c r="E781" i="1"/>
  <c r="F781" i="1"/>
  <c r="J781" i="1"/>
  <c r="M781" i="1"/>
  <c r="O781" i="1"/>
  <c r="D782" i="1"/>
  <c r="E782" i="1"/>
  <c r="F782" i="1"/>
  <c r="J782" i="1"/>
  <c r="M782" i="1"/>
  <c r="O782" i="1"/>
  <c r="D783" i="1"/>
  <c r="E783" i="1"/>
  <c r="F783" i="1"/>
  <c r="J783" i="1"/>
  <c r="M783" i="1"/>
  <c r="O783" i="1"/>
  <c r="D784" i="1"/>
  <c r="E784" i="1"/>
  <c r="F784" i="1"/>
  <c r="J784" i="1"/>
  <c r="M784" i="1"/>
  <c r="O784" i="1"/>
  <c r="D785" i="1"/>
  <c r="E785" i="1"/>
  <c r="F785" i="1"/>
  <c r="J785" i="1"/>
  <c r="M785" i="1"/>
  <c r="O785" i="1"/>
  <c r="D786" i="1"/>
  <c r="E786" i="1"/>
  <c r="F786" i="1"/>
  <c r="J786" i="1"/>
  <c r="M786" i="1"/>
  <c r="O786" i="1"/>
  <c r="D787" i="1"/>
  <c r="E787" i="1"/>
  <c r="F787" i="1"/>
  <c r="J787" i="1"/>
  <c r="M787" i="1"/>
  <c r="O787" i="1"/>
  <c r="D788" i="1"/>
  <c r="E788" i="1"/>
  <c r="F788" i="1"/>
  <c r="J788" i="1"/>
  <c r="M788" i="1"/>
  <c r="O788" i="1"/>
  <c r="D789" i="1"/>
  <c r="E789" i="1"/>
  <c r="F789" i="1"/>
  <c r="J789" i="1"/>
  <c r="M789" i="1"/>
  <c r="O789" i="1"/>
  <c r="D790" i="1"/>
  <c r="E790" i="1"/>
  <c r="F790" i="1"/>
  <c r="J790" i="1"/>
  <c r="M790" i="1"/>
  <c r="O790" i="1"/>
  <c r="D791" i="1"/>
  <c r="E791" i="1"/>
  <c r="F791" i="1"/>
  <c r="J791" i="1"/>
  <c r="M791" i="1"/>
  <c r="O791" i="1"/>
  <c r="D792" i="1"/>
  <c r="E792" i="1"/>
  <c r="F792" i="1"/>
  <c r="I792" i="1"/>
  <c r="J792" i="1"/>
  <c r="M792" i="1"/>
  <c r="O792" i="1"/>
  <c r="D793" i="1"/>
  <c r="E793" i="1"/>
  <c r="F793" i="1"/>
  <c r="J793" i="1"/>
  <c r="M793" i="1"/>
  <c r="O793" i="1"/>
  <c r="D794" i="1"/>
  <c r="E794" i="1"/>
  <c r="F794" i="1"/>
  <c r="J794" i="1"/>
  <c r="M794" i="1"/>
  <c r="O794" i="1"/>
  <c r="D795" i="1"/>
  <c r="E795" i="1"/>
  <c r="F795" i="1"/>
  <c r="J795" i="1"/>
  <c r="M795" i="1"/>
  <c r="O795" i="1"/>
  <c r="D796" i="1"/>
  <c r="E796" i="1"/>
  <c r="F796" i="1"/>
  <c r="J796" i="1"/>
  <c r="M796" i="1"/>
  <c r="O796" i="1"/>
  <c r="D797" i="1"/>
  <c r="E797" i="1"/>
  <c r="F797" i="1"/>
  <c r="J797" i="1"/>
  <c r="M797" i="1"/>
  <c r="O797" i="1"/>
  <c r="D798" i="1"/>
  <c r="E798" i="1"/>
  <c r="F798" i="1"/>
  <c r="J798" i="1"/>
  <c r="M798" i="1"/>
  <c r="O798" i="1"/>
  <c r="D799" i="1"/>
  <c r="E799" i="1"/>
  <c r="F799" i="1"/>
  <c r="J799" i="1"/>
  <c r="M799" i="1"/>
  <c r="O799" i="1"/>
  <c r="D800" i="1"/>
  <c r="E800" i="1"/>
  <c r="F800" i="1"/>
  <c r="J800" i="1"/>
  <c r="M800" i="1"/>
  <c r="O800" i="1"/>
  <c r="D801" i="1"/>
  <c r="E801" i="1"/>
  <c r="F801" i="1"/>
  <c r="J801" i="1"/>
  <c r="M801" i="1"/>
  <c r="O801" i="1"/>
  <c r="D802" i="1"/>
  <c r="E802" i="1"/>
  <c r="F802" i="1"/>
  <c r="J802" i="1"/>
  <c r="M802" i="1"/>
  <c r="O802" i="1"/>
  <c r="D803" i="1"/>
  <c r="E803" i="1"/>
  <c r="F803" i="1"/>
  <c r="J803" i="1"/>
  <c r="M803" i="1"/>
  <c r="O803" i="1"/>
  <c r="D804" i="1"/>
  <c r="E804" i="1"/>
  <c r="F804" i="1"/>
  <c r="J804" i="1"/>
  <c r="M804" i="1"/>
  <c r="O804" i="1"/>
  <c r="D805" i="1"/>
  <c r="E805" i="1"/>
  <c r="F805" i="1"/>
  <c r="J805" i="1"/>
  <c r="M805" i="1"/>
  <c r="O805" i="1"/>
  <c r="D806" i="1"/>
  <c r="E806" i="1"/>
  <c r="F806" i="1"/>
  <c r="J806" i="1"/>
  <c r="M806" i="1"/>
  <c r="O806" i="1"/>
  <c r="D807" i="1"/>
  <c r="E807" i="1"/>
  <c r="F807" i="1"/>
  <c r="J807" i="1"/>
  <c r="M807" i="1"/>
  <c r="O807" i="1"/>
  <c r="D808" i="1"/>
  <c r="E808" i="1"/>
  <c r="F808" i="1"/>
  <c r="J808" i="1"/>
  <c r="M808" i="1"/>
  <c r="O808" i="1"/>
  <c r="D809" i="1"/>
  <c r="E809" i="1"/>
  <c r="F809" i="1"/>
  <c r="J809" i="1"/>
  <c r="M809" i="1"/>
  <c r="O809" i="1"/>
  <c r="D810" i="1"/>
  <c r="E810" i="1"/>
  <c r="F810" i="1"/>
  <c r="J810" i="1"/>
  <c r="M810" i="1"/>
  <c r="O810" i="1"/>
  <c r="D811" i="1"/>
  <c r="E811" i="1"/>
  <c r="F811" i="1"/>
  <c r="J811" i="1"/>
  <c r="M811" i="1"/>
  <c r="O811" i="1"/>
  <c r="D812" i="1"/>
  <c r="E812" i="1"/>
  <c r="F812" i="1"/>
  <c r="J812" i="1"/>
  <c r="M812" i="1"/>
  <c r="O812" i="1"/>
  <c r="D813" i="1"/>
  <c r="E813" i="1"/>
  <c r="F813" i="1"/>
  <c r="J813" i="1"/>
  <c r="M813" i="1"/>
  <c r="O813" i="1"/>
  <c r="D814" i="1"/>
  <c r="E814" i="1"/>
  <c r="F814" i="1"/>
  <c r="J814" i="1"/>
  <c r="M814" i="1"/>
  <c r="O814" i="1"/>
  <c r="D815" i="1"/>
  <c r="E815" i="1"/>
  <c r="F815" i="1"/>
  <c r="J815" i="1"/>
  <c r="M815" i="1"/>
  <c r="O815" i="1"/>
  <c r="D816" i="1"/>
  <c r="E816" i="1"/>
  <c r="F816" i="1"/>
  <c r="J816" i="1"/>
  <c r="M816" i="1"/>
  <c r="O816" i="1"/>
  <c r="D817" i="1"/>
  <c r="E817" i="1"/>
  <c r="F817" i="1"/>
  <c r="J817" i="1"/>
  <c r="M817" i="1"/>
  <c r="O817" i="1"/>
  <c r="D818" i="1"/>
  <c r="E818" i="1"/>
  <c r="F818" i="1"/>
  <c r="J818" i="1"/>
  <c r="M818" i="1"/>
  <c r="O818" i="1"/>
  <c r="D819" i="1"/>
  <c r="E819" i="1"/>
  <c r="F819" i="1"/>
  <c r="J819" i="1"/>
  <c r="M819" i="1"/>
  <c r="O819" i="1"/>
  <c r="D820" i="1"/>
  <c r="E820" i="1"/>
  <c r="F820" i="1"/>
  <c r="J820" i="1"/>
  <c r="M820" i="1"/>
  <c r="O820" i="1"/>
  <c r="D821" i="1"/>
  <c r="E821" i="1"/>
  <c r="F821" i="1"/>
  <c r="J821" i="1"/>
  <c r="M821" i="1"/>
  <c r="O821" i="1"/>
  <c r="D822" i="1"/>
  <c r="E822" i="1"/>
  <c r="F822" i="1"/>
  <c r="J822" i="1"/>
  <c r="M822" i="1"/>
  <c r="O822" i="1"/>
  <c r="D823" i="1"/>
  <c r="E823" i="1"/>
  <c r="F823" i="1"/>
  <c r="J823" i="1"/>
  <c r="M823" i="1"/>
  <c r="O823" i="1"/>
  <c r="D824" i="1"/>
  <c r="E824" i="1"/>
  <c r="F824" i="1"/>
  <c r="J824" i="1"/>
  <c r="M824" i="1"/>
  <c r="O824" i="1"/>
  <c r="D825" i="1"/>
  <c r="E825" i="1"/>
  <c r="F825" i="1"/>
  <c r="J825" i="1"/>
  <c r="M825" i="1"/>
  <c r="O825" i="1"/>
  <c r="D826" i="1"/>
  <c r="E826" i="1"/>
  <c r="F826" i="1"/>
  <c r="J826" i="1"/>
  <c r="M826" i="1"/>
  <c r="O826" i="1"/>
  <c r="D827" i="1"/>
  <c r="E827" i="1"/>
  <c r="F827" i="1"/>
  <c r="J827" i="1"/>
  <c r="M827" i="1"/>
  <c r="O827" i="1"/>
  <c r="D828" i="1"/>
  <c r="E828" i="1"/>
  <c r="F828" i="1"/>
  <c r="J828" i="1"/>
  <c r="M828" i="1"/>
  <c r="O828" i="1"/>
  <c r="D829" i="1"/>
  <c r="E829" i="1"/>
  <c r="F829" i="1"/>
  <c r="J829" i="1"/>
  <c r="M829" i="1"/>
  <c r="O829" i="1"/>
  <c r="D830" i="1"/>
  <c r="E830" i="1"/>
  <c r="F830" i="1"/>
  <c r="J830" i="1"/>
  <c r="M830" i="1"/>
  <c r="O830" i="1"/>
  <c r="D831" i="1"/>
  <c r="E831" i="1"/>
  <c r="F831" i="1"/>
  <c r="J831" i="1"/>
  <c r="M831" i="1"/>
  <c r="O831" i="1"/>
  <c r="D832" i="1"/>
  <c r="E832" i="1"/>
  <c r="F832" i="1"/>
  <c r="J832" i="1"/>
  <c r="M832" i="1"/>
  <c r="O832" i="1"/>
  <c r="D833" i="1"/>
  <c r="E833" i="1"/>
  <c r="F833" i="1"/>
  <c r="J833" i="1"/>
  <c r="M833" i="1"/>
  <c r="O833" i="1"/>
  <c r="D834" i="1"/>
  <c r="E834" i="1"/>
  <c r="F834" i="1"/>
  <c r="J834" i="1"/>
  <c r="M834" i="1"/>
  <c r="O834" i="1"/>
  <c r="D835" i="1"/>
  <c r="E835" i="1"/>
  <c r="F835" i="1"/>
  <c r="J835" i="1"/>
  <c r="M835" i="1"/>
  <c r="O835" i="1"/>
  <c r="D836" i="1"/>
  <c r="E836" i="1"/>
  <c r="F836" i="1"/>
  <c r="J836" i="1"/>
  <c r="M836" i="1"/>
  <c r="O836" i="1"/>
  <c r="D837" i="1"/>
  <c r="E837" i="1"/>
  <c r="F837" i="1"/>
  <c r="J837" i="1"/>
  <c r="M837" i="1"/>
  <c r="O837" i="1"/>
  <c r="D838" i="1"/>
  <c r="E838" i="1"/>
  <c r="F838" i="1"/>
  <c r="J838" i="1"/>
  <c r="M838" i="1"/>
  <c r="O838" i="1"/>
  <c r="D839" i="1"/>
  <c r="E839" i="1"/>
  <c r="F839" i="1"/>
  <c r="J839" i="1"/>
  <c r="M839" i="1"/>
  <c r="O839" i="1"/>
  <c r="D840" i="1"/>
  <c r="E840" i="1"/>
  <c r="F840" i="1"/>
  <c r="J840" i="1"/>
  <c r="M840" i="1"/>
  <c r="O840" i="1"/>
  <c r="D841" i="1"/>
  <c r="E841" i="1"/>
  <c r="F841" i="1"/>
  <c r="J841" i="1"/>
  <c r="M841" i="1"/>
  <c r="O841" i="1"/>
  <c r="D842" i="1"/>
  <c r="E842" i="1"/>
  <c r="F842" i="1"/>
  <c r="J842" i="1"/>
  <c r="M842" i="1"/>
  <c r="O842" i="1"/>
  <c r="D843" i="1"/>
  <c r="E843" i="1"/>
  <c r="F843" i="1"/>
  <c r="J843" i="1"/>
  <c r="M843" i="1"/>
  <c r="O843" i="1"/>
  <c r="D844" i="1"/>
  <c r="E844" i="1"/>
  <c r="F844" i="1"/>
  <c r="J844" i="1"/>
  <c r="M844" i="1"/>
  <c r="O844" i="1"/>
  <c r="D845" i="1"/>
  <c r="E845" i="1"/>
  <c r="F845" i="1"/>
  <c r="J845" i="1"/>
  <c r="M845" i="1"/>
  <c r="O845" i="1"/>
  <c r="D846" i="1"/>
  <c r="E846" i="1"/>
  <c r="F846" i="1"/>
  <c r="J846" i="1"/>
  <c r="M846" i="1"/>
  <c r="O846" i="1"/>
  <c r="D847" i="1"/>
  <c r="E847" i="1"/>
  <c r="F847" i="1"/>
  <c r="J847" i="1"/>
  <c r="M847" i="1"/>
  <c r="O847" i="1"/>
  <c r="D848" i="1"/>
  <c r="E848" i="1"/>
  <c r="F848" i="1"/>
  <c r="J848" i="1"/>
  <c r="M848" i="1"/>
  <c r="O848" i="1"/>
  <c r="D849" i="1"/>
  <c r="E849" i="1"/>
  <c r="F849" i="1"/>
  <c r="J849" i="1"/>
  <c r="M849" i="1"/>
  <c r="O849" i="1"/>
  <c r="D850" i="1"/>
  <c r="E850" i="1"/>
  <c r="F850" i="1"/>
  <c r="J850" i="1"/>
  <c r="M850" i="1"/>
  <c r="O850" i="1"/>
  <c r="D851" i="1"/>
  <c r="E851" i="1"/>
  <c r="F851" i="1"/>
  <c r="J851" i="1"/>
  <c r="M851" i="1"/>
  <c r="O851" i="1"/>
  <c r="D852" i="1"/>
  <c r="E852" i="1"/>
  <c r="F852" i="1"/>
  <c r="J852" i="1"/>
  <c r="M852" i="1"/>
  <c r="O852" i="1"/>
  <c r="D853" i="1"/>
  <c r="E853" i="1"/>
  <c r="F853" i="1"/>
  <c r="J853" i="1"/>
  <c r="M853" i="1"/>
  <c r="O853" i="1"/>
  <c r="D854" i="1"/>
  <c r="E854" i="1"/>
  <c r="F854" i="1"/>
  <c r="J854" i="1"/>
  <c r="M854" i="1"/>
  <c r="O854" i="1"/>
  <c r="D855" i="1"/>
  <c r="E855" i="1"/>
  <c r="F855" i="1"/>
  <c r="J855" i="1"/>
  <c r="M855" i="1"/>
  <c r="O855" i="1"/>
  <c r="D856" i="1"/>
  <c r="E856" i="1"/>
  <c r="F856" i="1"/>
  <c r="J856" i="1"/>
  <c r="M856" i="1"/>
  <c r="O856" i="1"/>
  <c r="D857" i="1"/>
  <c r="E857" i="1"/>
  <c r="F857" i="1"/>
  <c r="J857" i="1"/>
  <c r="M857" i="1"/>
  <c r="O857" i="1"/>
  <c r="D858" i="1"/>
  <c r="E858" i="1"/>
  <c r="F858" i="1"/>
  <c r="J858" i="1"/>
  <c r="M858" i="1"/>
  <c r="O858" i="1"/>
  <c r="D859" i="1"/>
  <c r="E859" i="1"/>
  <c r="F859" i="1"/>
  <c r="J859" i="1"/>
  <c r="M859" i="1"/>
  <c r="O859" i="1"/>
  <c r="D860" i="1"/>
  <c r="E860" i="1"/>
  <c r="F860" i="1"/>
  <c r="J860" i="1"/>
  <c r="M860" i="1"/>
  <c r="O860" i="1"/>
  <c r="D861" i="1"/>
  <c r="E861" i="1"/>
  <c r="F861" i="1"/>
  <c r="J861" i="1"/>
  <c r="M861" i="1"/>
  <c r="O861" i="1"/>
  <c r="D862" i="1"/>
  <c r="E862" i="1"/>
  <c r="F862" i="1"/>
  <c r="J862" i="1"/>
  <c r="M862" i="1"/>
  <c r="O862" i="1"/>
  <c r="D863" i="1"/>
  <c r="E863" i="1"/>
  <c r="F863" i="1"/>
  <c r="J863" i="1"/>
  <c r="M863" i="1"/>
  <c r="O863" i="1"/>
  <c r="D864" i="1"/>
  <c r="E864" i="1"/>
  <c r="F864" i="1"/>
  <c r="J864" i="1"/>
  <c r="M864" i="1"/>
  <c r="O864" i="1"/>
  <c r="D865" i="1"/>
  <c r="E865" i="1"/>
  <c r="F865" i="1"/>
  <c r="J865" i="1"/>
  <c r="M865" i="1"/>
  <c r="O865" i="1"/>
  <c r="D866" i="1"/>
  <c r="E866" i="1"/>
  <c r="F866" i="1"/>
  <c r="J866" i="1"/>
  <c r="M866" i="1"/>
  <c r="O866" i="1"/>
  <c r="D867" i="1"/>
  <c r="E867" i="1"/>
  <c r="F867" i="1"/>
  <c r="J867" i="1"/>
  <c r="M867" i="1"/>
  <c r="O867" i="1"/>
  <c r="D868" i="1"/>
  <c r="E868" i="1"/>
  <c r="F868" i="1"/>
  <c r="J868" i="1"/>
  <c r="M868" i="1"/>
  <c r="O868" i="1"/>
  <c r="D869" i="1"/>
  <c r="E869" i="1"/>
  <c r="F869" i="1"/>
  <c r="J869" i="1"/>
  <c r="M869" i="1"/>
  <c r="O869" i="1"/>
  <c r="D870" i="1"/>
  <c r="E870" i="1"/>
  <c r="F870" i="1"/>
  <c r="J870" i="1"/>
  <c r="M870" i="1"/>
  <c r="O870" i="1"/>
  <c r="D871" i="1"/>
  <c r="E871" i="1"/>
  <c r="F871" i="1"/>
  <c r="J871" i="1"/>
  <c r="M871" i="1"/>
  <c r="O871" i="1"/>
  <c r="D872" i="1"/>
  <c r="E872" i="1"/>
  <c r="F872" i="1"/>
  <c r="J872" i="1"/>
  <c r="M872" i="1"/>
  <c r="O872" i="1"/>
  <c r="D873" i="1"/>
  <c r="E873" i="1"/>
  <c r="F873" i="1"/>
  <c r="J873" i="1"/>
  <c r="M873" i="1"/>
  <c r="O873" i="1"/>
  <c r="D874" i="1"/>
  <c r="E874" i="1"/>
  <c r="F874" i="1"/>
  <c r="J874" i="1"/>
  <c r="M874" i="1"/>
  <c r="O874" i="1"/>
  <c r="D875" i="1"/>
  <c r="E875" i="1"/>
  <c r="F875" i="1"/>
  <c r="J875" i="1"/>
  <c r="M875" i="1"/>
  <c r="O875" i="1"/>
  <c r="D876" i="1"/>
  <c r="E876" i="1"/>
  <c r="F876" i="1"/>
  <c r="J876" i="1"/>
  <c r="M876" i="1"/>
  <c r="O876" i="1"/>
  <c r="D877" i="1"/>
  <c r="E877" i="1"/>
  <c r="F877" i="1"/>
  <c r="J877" i="1"/>
  <c r="M877" i="1"/>
  <c r="O877" i="1"/>
  <c r="D878" i="1"/>
  <c r="E878" i="1"/>
  <c r="F878" i="1"/>
  <c r="J878" i="1"/>
  <c r="M878" i="1"/>
  <c r="O878" i="1"/>
  <c r="D879" i="1"/>
  <c r="E879" i="1"/>
  <c r="F879" i="1"/>
  <c r="J879" i="1"/>
  <c r="M879" i="1"/>
  <c r="O879" i="1"/>
  <c r="D880" i="1"/>
  <c r="E880" i="1"/>
  <c r="F880" i="1"/>
  <c r="J880" i="1"/>
  <c r="M880" i="1"/>
  <c r="O880" i="1"/>
  <c r="D881" i="1"/>
  <c r="E881" i="1"/>
  <c r="F881" i="1"/>
  <c r="J881" i="1"/>
  <c r="M881" i="1"/>
  <c r="O881" i="1"/>
  <c r="D882" i="1"/>
  <c r="E882" i="1"/>
  <c r="F882" i="1"/>
  <c r="J882" i="1"/>
  <c r="M882" i="1"/>
  <c r="O882" i="1"/>
  <c r="D883" i="1"/>
  <c r="E883" i="1"/>
  <c r="F883" i="1"/>
  <c r="J883" i="1"/>
  <c r="M883" i="1"/>
  <c r="O883" i="1"/>
  <c r="D884" i="1"/>
  <c r="E884" i="1"/>
  <c r="F884" i="1"/>
  <c r="J884" i="1"/>
  <c r="M884" i="1"/>
  <c r="O884" i="1"/>
  <c r="D885" i="1"/>
  <c r="E885" i="1"/>
  <c r="F885" i="1"/>
  <c r="J885" i="1"/>
  <c r="M885" i="1"/>
  <c r="O885" i="1"/>
  <c r="D886" i="1"/>
  <c r="E886" i="1"/>
  <c r="F886" i="1"/>
  <c r="J886" i="1"/>
  <c r="M886" i="1"/>
  <c r="O886" i="1"/>
  <c r="D887" i="1"/>
  <c r="E887" i="1"/>
  <c r="F887" i="1"/>
  <c r="J887" i="1"/>
  <c r="M887" i="1"/>
  <c r="O887" i="1"/>
  <c r="D888" i="1"/>
  <c r="E888" i="1"/>
  <c r="F888" i="1"/>
  <c r="J888" i="1"/>
  <c r="M888" i="1"/>
  <c r="O888" i="1"/>
  <c r="D889" i="1"/>
  <c r="E889" i="1"/>
  <c r="F889" i="1"/>
  <c r="J889" i="1"/>
  <c r="M889" i="1"/>
  <c r="O889" i="1"/>
  <c r="D890" i="1"/>
  <c r="E890" i="1"/>
  <c r="F890" i="1"/>
  <c r="J890" i="1"/>
  <c r="M890" i="1"/>
  <c r="O890" i="1"/>
  <c r="D891" i="1"/>
  <c r="E891" i="1"/>
  <c r="F891" i="1"/>
  <c r="J891" i="1"/>
  <c r="M891" i="1"/>
  <c r="O891" i="1"/>
  <c r="D892" i="1"/>
  <c r="E892" i="1"/>
  <c r="F892" i="1"/>
  <c r="J892" i="1"/>
  <c r="M892" i="1"/>
  <c r="O892" i="1"/>
  <c r="D893" i="1"/>
  <c r="E893" i="1"/>
  <c r="F893" i="1"/>
  <c r="J893" i="1"/>
  <c r="M893" i="1"/>
  <c r="O893" i="1"/>
  <c r="D894" i="1"/>
  <c r="E894" i="1"/>
  <c r="F894" i="1"/>
  <c r="J894" i="1"/>
  <c r="M894" i="1"/>
  <c r="O894" i="1"/>
  <c r="D895" i="1"/>
  <c r="E895" i="1"/>
  <c r="F895" i="1"/>
  <c r="J895" i="1"/>
  <c r="M895" i="1"/>
  <c r="O895" i="1"/>
  <c r="D896" i="1"/>
  <c r="E896" i="1"/>
  <c r="F896" i="1"/>
  <c r="J896" i="1"/>
  <c r="M896" i="1"/>
  <c r="O896" i="1"/>
  <c r="D897" i="1"/>
  <c r="E897" i="1"/>
  <c r="F897" i="1"/>
  <c r="J897" i="1"/>
  <c r="M897" i="1"/>
  <c r="O897" i="1"/>
  <c r="D898" i="1"/>
  <c r="E898" i="1"/>
  <c r="F898" i="1"/>
  <c r="J898" i="1"/>
  <c r="M898" i="1"/>
  <c r="O898" i="1"/>
  <c r="D899" i="1"/>
  <c r="E899" i="1"/>
  <c r="F899" i="1"/>
  <c r="J899" i="1"/>
  <c r="M899" i="1"/>
  <c r="O899" i="1"/>
  <c r="D900" i="1"/>
  <c r="E900" i="1"/>
  <c r="F900" i="1"/>
  <c r="J900" i="1"/>
  <c r="M900" i="1"/>
  <c r="O900" i="1"/>
  <c r="D901" i="1"/>
  <c r="E901" i="1"/>
  <c r="F901" i="1"/>
  <c r="J901" i="1"/>
  <c r="M901" i="1"/>
  <c r="O901" i="1"/>
  <c r="D902" i="1"/>
  <c r="E902" i="1"/>
  <c r="F902" i="1"/>
  <c r="J902" i="1"/>
  <c r="M902" i="1"/>
  <c r="O902" i="1"/>
  <c r="D903" i="1"/>
  <c r="E903" i="1"/>
  <c r="F903" i="1"/>
  <c r="J903" i="1"/>
  <c r="M903" i="1"/>
  <c r="O903" i="1"/>
  <c r="D904" i="1"/>
  <c r="E904" i="1"/>
  <c r="F904" i="1"/>
  <c r="J904" i="1"/>
  <c r="M904" i="1"/>
  <c r="O904" i="1"/>
  <c r="D905" i="1"/>
  <c r="E905" i="1"/>
  <c r="F905" i="1"/>
  <c r="J905" i="1"/>
  <c r="M905" i="1"/>
  <c r="O905" i="1"/>
  <c r="D906" i="1"/>
  <c r="E906" i="1"/>
  <c r="F906" i="1"/>
  <c r="J906" i="1"/>
  <c r="M906" i="1"/>
  <c r="O906" i="1"/>
  <c r="D907" i="1"/>
  <c r="E907" i="1"/>
  <c r="F907" i="1"/>
  <c r="J907" i="1"/>
  <c r="M907" i="1"/>
  <c r="O907" i="1"/>
  <c r="D908" i="1"/>
  <c r="E908" i="1"/>
  <c r="F908" i="1"/>
  <c r="J908" i="1"/>
  <c r="M908" i="1"/>
  <c r="O908" i="1"/>
  <c r="D909" i="1"/>
  <c r="E909" i="1"/>
  <c r="F909" i="1"/>
  <c r="J909" i="1"/>
  <c r="M909" i="1"/>
  <c r="O909" i="1"/>
  <c r="D910" i="1"/>
  <c r="E910" i="1"/>
  <c r="F910" i="1"/>
  <c r="J910" i="1"/>
  <c r="M910" i="1"/>
  <c r="O910" i="1"/>
  <c r="D911" i="1"/>
  <c r="E911" i="1"/>
  <c r="F911" i="1"/>
  <c r="J911" i="1"/>
  <c r="M911" i="1"/>
  <c r="O911" i="1"/>
  <c r="D912" i="1"/>
  <c r="E912" i="1"/>
  <c r="F912" i="1"/>
  <c r="J912" i="1"/>
  <c r="M912" i="1"/>
  <c r="O912" i="1"/>
  <c r="D913" i="1"/>
  <c r="E913" i="1"/>
  <c r="F913" i="1"/>
  <c r="J913" i="1"/>
  <c r="M913" i="1"/>
  <c r="O913" i="1"/>
  <c r="D914" i="1"/>
  <c r="E914" i="1"/>
  <c r="F914" i="1"/>
  <c r="J914" i="1"/>
  <c r="M914" i="1"/>
  <c r="O914" i="1"/>
  <c r="D915" i="1"/>
  <c r="E915" i="1"/>
  <c r="F915" i="1"/>
  <c r="J915" i="1"/>
  <c r="M915" i="1"/>
  <c r="O915" i="1"/>
  <c r="D916" i="1"/>
  <c r="E916" i="1"/>
  <c r="F916" i="1"/>
  <c r="J916" i="1"/>
  <c r="M916" i="1"/>
  <c r="O916" i="1"/>
  <c r="D917" i="1"/>
  <c r="E917" i="1"/>
  <c r="F917" i="1"/>
  <c r="J917" i="1"/>
  <c r="M917" i="1"/>
  <c r="O917" i="1"/>
  <c r="D918" i="1"/>
  <c r="E918" i="1"/>
  <c r="F918" i="1"/>
  <c r="J918" i="1"/>
  <c r="M918" i="1"/>
  <c r="O918" i="1"/>
  <c r="D919" i="1"/>
  <c r="E919" i="1"/>
  <c r="F919" i="1"/>
  <c r="J919" i="1"/>
  <c r="M919" i="1"/>
  <c r="O919" i="1"/>
  <c r="D920" i="1"/>
  <c r="E920" i="1"/>
  <c r="F920" i="1"/>
  <c r="J920" i="1"/>
  <c r="M920" i="1"/>
  <c r="O920" i="1"/>
  <c r="D921" i="1"/>
  <c r="E921" i="1"/>
  <c r="F921" i="1"/>
  <c r="J921" i="1"/>
  <c r="M921" i="1"/>
  <c r="O921" i="1"/>
  <c r="D922" i="1"/>
  <c r="E922" i="1"/>
  <c r="F922" i="1"/>
  <c r="J922" i="1"/>
  <c r="M922" i="1"/>
  <c r="O922" i="1"/>
  <c r="D923" i="1"/>
  <c r="E923" i="1"/>
  <c r="F923" i="1"/>
  <c r="J923" i="1"/>
  <c r="M923" i="1"/>
  <c r="O923" i="1"/>
  <c r="D924" i="1"/>
  <c r="E924" i="1"/>
  <c r="F924" i="1"/>
  <c r="J924" i="1"/>
  <c r="M924" i="1"/>
  <c r="O924" i="1"/>
  <c r="D925" i="1"/>
  <c r="E925" i="1"/>
  <c r="F925" i="1"/>
  <c r="J925" i="1"/>
  <c r="M925" i="1"/>
  <c r="O925" i="1"/>
  <c r="D926" i="1"/>
  <c r="E926" i="1"/>
  <c r="F926" i="1"/>
  <c r="J926" i="1"/>
  <c r="M926" i="1"/>
  <c r="O926" i="1"/>
  <c r="D927" i="1"/>
  <c r="E927" i="1"/>
  <c r="F927" i="1"/>
  <c r="J927" i="1"/>
  <c r="M927" i="1"/>
  <c r="O927" i="1"/>
  <c r="D928" i="1"/>
  <c r="E928" i="1"/>
  <c r="F928" i="1"/>
  <c r="J928" i="1"/>
  <c r="M928" i="1"/>
  <c r="O928" i="1"/>
  <c r="D929" i="1"/>
  <c r="E929" i="1"/>
  <c r="F929" i="1"/>
  <c r="J929" i="1"/>
  <c r="M929" i="1"/>
  <c r="O929" i="1"/>
  <c r="D930" i="1"/>
  <c r="E930" i="1"/>
  <c r="F930" i="1"/>
  <c r="J930" i="1"/>
  <c r="M930" i="1"/>
  <c r="O930" i="1"/>
  <c r="D931" i="1"/>
  <c r="E931" i="1"/>
  <c r="F931" i="1"/>
  <c r="J931" i="1"/>
  <c r="M931" i="1"/>
  <c r="O931" i="1"/>
  <c r="D932" i="1"/>
  <c r="E932" i="1"/>
  <c r="F932" i="1"/>
  <c r="J932" i="1"/>
  <c r="M932" i="1"/>
  <c r="O932" i="1"/>
  <c r="D933" i="1"/>
  <c r="E933" i="1"/>
  <c r="F933" i="1"/>
  <c r="J933" i="1"/>
  <c r="M933" i="1"/>
  <c r="O933" i="1"/>
  <c r="D934" i="1"/>
  <c r="E934" i="1"/>
  <c r="F934" i="1"/>
  <c r="I934" i="1"/>
  <c r="J934" i="1"/>
  <c r="M934" i="1"/>
  <c r="O934" i="1"/>
  <c r="D935" i="1"/>
  <c r="E935" i="1"/>
  <c r="F935" i="1"/>
  <c r="J935" i="1"/>
  <c r="M935" i="1"/>
  <c r="O935" i="1"/>
  <c r="D936" i="1"/>
  <c r="E936" i="1"/>
  <c r="F936" i="1"/>
  <c r="J936" i="1"/>
  <c r="M936" i="1"/>
  <c r="O936" i="1"/>
  <c r="D937" i="1"/>
  <c r="E937" i="1"/>
  <c r="F937" i="1"/>
  <c r="J937" i="1"/>
  <c r="M937" i="1"/>
  <c r="O937" i="1"/>
  <c r="D938" i="1"/>
  <c r="E938" i="1"/>
  <c r="F938" i="1"/>
  <c r="J938" i="1"/>
  <c r="M938" i="1"/>
  <c r="O938" i="1"/>
  <c r="D939" i="1"/>
  <c r="E939" i="1"/>
  <c r="F939" i="1"/>
  <c r="J939" i="1"/>
  <c r="M939" i="1"/>
  <c r="O939" i="1"/>
  <c r="D940" i="1"/>
  <c r="E940" i="1"/>
  <c r="F940" i="1"/>
  <c r="J940" i="1"/>
  <c r="M940" i="1"/>
  <c r="O940" i="1"/>
  <c r="D941" i="1"/>
  <c r="E941" i="1"/>
  <c r="F941" i="1"/>
  <c r="J941" i="1"/>
  <c r="M941" i="1"/>
  <c r="O941" i="1"/>
  <c r="D942" i="1"/>
  <c r="E942" i="1"/>
  <c r="F942" i="1"/>
  <c r="J942" i="1"/>
  <c r="M942" i="1"/>
  <c r="O942" i="1"/>
  <c r="D943" i="1"/>
  <c r="E943" i="1"/>
  <c r="F943" i="1"/>
  <c r="J943" i="1"/>
  <c r="M943" i="1"/>
  <c r="O943" i="1"/>
  <c r="D944" i="1"/>
  <c r="E944" i="1"/>
  <c r="F944" i="1"/>
  <c r="J944" i="1"/>
  <c r="M944" i="1"/>
  <c r="O944" i="1"/>
  <c r="D945" i="1"/>
  <c r="E945" i="1"/>
  <c r="F945" i="1"/>
  <c r="J945" i="1"/>
  <c r="M945" i="1"/>
  <c r="O945" i="1"/>
  <c r="D946" i="1"/>
  <c r="E946" i="1"/>
  <c r="F946" i="1"/>
  <c r="J946" i="1"/>
  <c r="M946" i="1"/>
  <c r="O946" i="1"/>
  <c r="D947" i="1"/>
  <c r="E947" i="1"/>
  <c r="F947" i="1"/>
  <c r="J947" i="1"/>
  <c r="M947" i="1"/>
  <c r="O947" i="1"/>
  <c r="D948" i="1"/>
  <c r="E948" i="1"/>
  <c r="F948" i="1"/>
  <c r="J948" i="1"/>
  <c r="M948" i="1"/>
  <c r="O948" i="1"/>
  <c r="D949" i="1"/>
  <c r="E949" i="1"/>
  <c r="F949" i="1"/>
  <c r="J949" i="1"/>
  <c r="M949" i="1"/>
  <c r="O949" i="1"/>
  <c r="D950" i="1"/>
  <c r="E950" i="1"/>
  <c r="F950" i="1"/>
  <c r="J950" i="1"/>
  <c r="M950" i="1"/>
  <c r="O950" i="1"/>
  <c r="D951" i="1"/>
  <c r="E951" i="1"/>
  <c r="F951" i="1"/>
  <c r="J951" i="1"/>
  <c r="M951" i="1"/>
  <c r="O951" i="1"/>
  <c r="D952" i="1"/>
  <c r="E952" i="1"/>
  <c r="F952" i="1"/>
  <c r="J952" i="1"/>
  <c r="M952" i="1"/>
  <c r="O952" i="1"/>
  <c r="D953" i="1"/>
  <c r="E953" i="1"/>
  <c r="F953" i="1"/>
  <c r="J953" i="1"/>
  <c r="M953" i="1"/>
  <c r="O953" i="1"/>
  <c r="D954" i="1"/>
  <c r="E954" i="1"/>
  <c r="F954" i="1"/>
  <c r="J954" i="1"/>
  <c r="M954" i="1"/>
  <c r="O954" i="1"/>
  <c r="D955" i="1"/>
  <c r="E955" i="1"/>
  <c r="F955" i="1"/>
  <c r="J955" i="1"/>
  <c r="M955" i="1"/>
  <c r="O955" i="1"/>
  <c r="D956" i="1"/>
  <c r="E956" i="1"/>
  <c r="F956" i="1"/>
  <c r="J956" i="1"/>
  <c r="M956" i="1"/>
  <c r="O956" i="1"/>
  <c r="D957" i="1"/>
  <c r="E957" i="1"/>
  <c r="F957" i="1"/>
  <c r="J957" i="1"/>
  <c r="M957" i="1"/>
  <c r="O957" i="1"/>
  <c r="D958" i="1"/>
  <c r="E958" i="1"/>
  <c r="F958" i="1"/>
  <c r="J958" i="1"/>
  <c r="M958" i="1"/>
  <c r="O958" i="1"/>
  <c r="D959" i="1"/>
  <c r="E959" i="1"/>
  <c r="F959" i="1"/>
  <c r="J959" i="1"/>
  <c r="M959" i="1"/>
  <c r="O959" i="1"/>
  <c r="D960" i="1"/>
  <c r="E960" i="1"/>
  <c r="F960" i="1"/>
  <c r="J960" i="1"/>
  <c r="M960" i="1"/>
  <c r="O960" i="1"/>
  <c r="D961" i="1"/>
  <c r="E961" i="1"/>
  <c r="F961" i="1"/>
  <c r="J961" i="1"/>
  <c r="M961" i="1"/>
  <c r="O961" i="1"/>
  <c r="D962" i="1"/>
  <c r="E962" i="1"/>
  <c r="F962" i="1"/>
  <c r="J962" i="1"/>
  <c r="M962" i="1"/>
  <c r="O962" i="1"/>
  <c r="D963" i="1"/>
  <c r="E963" i="1"/>
  <c r="F963" i="1"/>
  <c r="J963" i="1"/>
  <c r="M963" i="1"/>
  <c r="O963" i="1"/>
  <c r="D964" i="1"/>
  <c r="E964" i="1"/>
  <c r="F964" i="1"/>
  <c r="J964" i="1"/>
  <c r="M964" i="1"/>
  <c r="O964" i="1"/>
  <c r="D965" i="1"/>
  <c r="E965" i="1"/>
  <c r="F965" i="1"/>
  <c r="J965" i="1"/>
  <c r="M965" i="1"/>
  <c r="O965" i="1"/>
  <c r="D966" i="1"/>
  <c r="E966" i="1"/>
  <c r="F966" i="1"/>
  <c r="J966" i="1"/>
  <c r="M966" i="1"/>
  <c r="O966" i="1"/>
  <c r="D967" i="1"/>
  <c r="E967" i="1"/>
  <c r="F967" i="1"/>
  <c r="J967" i="1"/>
  <c r="M967" i="1"/>
  <c r="O967" i="1"/>
  <c r="D968" i="1"/>
  <c r="E968" i="1"/>
  <c r="F968" i="1"/>
  <c r="J968" i="1"/>
  <c r="M968" i="1"/>
  <c r="O968" i="1"/>
  <c r="D969" i="1"/>
  <c r="E969" i="1"/>
  <c r="F969" i="1"/>
  <c r="J969" i="1"/>
  <c r="M969" i="1"/>
  <c r="O969" i="1"/>
  <c r="D970" i="1"/>
  <c r="E970" i="1"/>
  <c r="F970" i="1"/>
  <c r="J970" i="1"/>
  <c r="M970" i="1"/>
  <c r="O970" i="1"/>
  <c r="D971" i="1"/>
  <c r="E971" i="1"/>
  <c r="F971" i="1"/>
  <c r="J971" i="1"/>
  <c r="M971" i="1"/>
  <c r="O971" i="1"/>
  <c r="D972" i="1"/>
  <c r="E972" i="1"/>
  <c r="F972" i="1"/>
  <c r="J972" i="1"/>
  <c r="M972" i="1"/>
  <c r="O972" i="1"/>
  <c r="D973" i="1"/>
  <c r="E973" i="1"/>
  <c r="F973" i="1"/>
  <c r="J973" i="1"/>
  <c r="M973" i="1"/>
  <c r="O973" i="1"/>
  <c r="D974" i="1"/>
  <c r="E974" i="1"/>
  <c r="F974" i="1"/>
  <c r="J974" i="1"/>
  <c r="M974" i="1"/>
  <c r="O974" i="1"/>
  <c r="D975" i="1"/>
  <c r="E975" i="1"/>
  <c r="F975" i="1"/>
  <c r="J975" i="1"/>
  <c r="M975" i="1"/>
  <c r="O975" i="1"/>
  <c r="D976" i="1"/>
  <c r="E976" i="1"/>
  <c r="F976" i="1"/>
  <c r="J976" i="1"/>
  <c r="M976" i="1"/>
  <c r="O976" i="1"/>
  <c r="D977" i="1"/>
  <c r="E977" i="1"/>
  <c r="F977" i="1"/>
  <c r="J977" i="1"/>
  <c r="M977" i="1"/>
  <c r="O977" i="1"/>
  <c r="D978" i="1"/>
  <c r="E978" i="1"/>
  <c r="F978" i="1"/>
  <c r="J978" i="1"/>
  <c r="M978" i="1"/>
  <c r="O978" i="1"/>
  <c r="D979" i="1"/>
  <c r="E979" i="1"/>
  <c r="F979" i="1"/>
  <c r="J979" i="1"/>
  <c r="M979" i="1"/>
  <c r="O979" i="1"/>
  <c r="D980" i="1"/>
  <c r="E980" i="1"/>
  <c r="F980" i="1"/>
  <c r="J980" i="1"/>
  <c r="M980" i="1"/>
  <c r="O980" i="1"/>
  <c r="D981" i="1"/>
  <c r="E981" i="1"/>
  <c r="F981" i="1"/>
  <c r="J981" i="1"/>
  <c r="M981" i="1"/>
  <c r="O981" i="1"/>
  <c r="D982" i="1"/>
  <c r="E982" i="1"/>
  <c r="F982" i="1"/>
  <c r="J982" i="1"/>
  <c r="M982" i="1"/>
  <c r="O982" i="1"/>
  <c r="D983" i="1"/>
  <c r="E983" i="1"/>
  <c r="F983" i="1"/>
  <c r="J983" i="1"/>
  <c r="M983" i="1"/>
  <c r="O983" i="1"/>
  <c r="D984" i="1"/>
  <c r="E984" i="1"/>
  <c r="F984" i="1"/>
  <c r="J984" i="1"/>
  <c r="M984" i="1"/>
  <c r="O984" i="1"/>
  <c r="D985" i="1"/>
  <c r="E985" i="1"/>
  <c r="F985" i="1"/>
  <c r="J985" i="1"/>
  <c r="M985" i="1"/>
  <c r="O985" i="1"/>
  <c r="D986" i="1"/>
  <c r="E986" i="1"/>
  <c r="F986" i="1"/>
  <c r="J986" i="1"/>
  <c r="M986" i="1"/>
  <c r="O986" i="1"/>
  <c r="D987" i="1"/>
  <c r="E987" i="1"/>
  <c r="F987" i="1"/>
  <c r="J987" i="1"/>
  <c r="M987" i="1"/>
  <c r="O987" i="1"/>
  <c r="D988" i="1"/>
  <c r="E988" i="1"/>
  <c r="F988" i="1"/>
  <c r="J988" i="1"/>
  <c r="M988" i="1"/>
  <c r="O988" i="1"/>
  <c r="D989" i="1"/>
  <c r="E989" i="1"/>
  <c r="F989" i="1"/>
  <c r="J989" i="1"/>
  <c r="M989" i="1"/>
  <c r="O989" i="1"/>
  <c r="D990" i="1"/>
  <c r="E990" i="1"/>
  <c r="F990" i="1"/>
  <c r="J990" i="1"/>
  <c r="M990" i="1"/>
  <c r="O990" i="1"/>
  <c r="D991" i="1"/>
  <c r="E991" i="1"/>
  <c r="F991" i="1"/>
  <c r="J991" i="1"/>
  <c r="M991" i="1"/>
  <c r="O991" i="1"/>
  <c r="D992" i="1"/>
  <c r="E992" i="1"/>
  <c r="F992" i="1"/>
  <c r="J992" i="1"/>
  <c r="M992" i="1"/>
  <c r="O992" i="1"/>
  <c r="D993" i="1"/>
  <c r="E993" i="1"/>
  <c r="F993" i="1"/>
  <c r="J993" i="1"/>
  <c r="M993" i="1"/>
  <c r="O993" i="1"/>
  <c r="D994" i="1"/>
  <c r="E994" i="1"/>
  <c r="F994" i="1"/>
  <c r="J994" i="1"/>
  <c r="M994" i="1"/>
  <c r="O994" i="1"/>
  <c r="D995" i="1"/>
  <c r="E995" i="1"/>
  <c r="F995" i="1"/>
  <c r="J995" i="1"/>
  <c r="M995" i="1"/>
  <c r="O995" i="1"/>
  <c r="D996" i="1"/>
  <c r="E996" i="1"/>
  <c r="F996" i="1"/>
  <c r="J996" i="1"/>
  <c r="M996" i="1"/>
  <c r="O996" i="1"/>
  <c r="D997" i="1"/>
  <c r="E997" i="1"/>
  <c r="F997" i="1"/>
  <c r="J997" i="1"/>
  <c r="M997" i="1"/>
  <c r="O997" i="1"/>
  <c r="D998" i="1"/>
  <c r="E998" i="1"/>
  <c r="F998" i="1"/>
  <c r="J998" i="1"/>
  <c r="M998" i="1"/>
  <c r="O998" i="1"/>
  <c r="D999" i="1"/>
  <c r="E999" i="1"/>
  <c r="F999" i="1"/>
  <c r="J999" i="1"/>
  <c r="M999" i="1"/>
  <c r="O999" i="1"/>
  <c r="D1000" i="1"/>
  <c r="E1000" i="1"/>
  <c r="F1000" i="1"/>
  <c r="J1000" i="1"/>
  <c r="M1000" i="1"/>
  <c r="O1000" i="1"/>
  <c r="D1001" i="1"/>
  <c r="E1001" i="1"/>
  <c r="F1001" i="1"/>
  <c r="J1001" i="1"/>
  <c r="M1001" i="1"/>
  <c r="O1001" i="1"/>
  <c r="D1002" i="1"/>
  <c r="E1002" i="1"/>
  <c r="F1002" i="1"/>
  <c r="J1002" i="1"/>
  <c r="M1002" i="1"/>
  <c r="O1002" i="1"/>
  <c r="D1003" i="1"/>
  <c r="E1003" i="1"/>
  <c r="F1003" i="1"/>
  <c r="J1003" i="1"/>
  <c r="M1003" i="1"/>
  <c r="O1003" i="1"/>
  <c r="D1004" i="1"/>
  <c r="E1004" i="1"/>
  <c r="F1004" i="1"/>
  <c r="J1004" i="1"/>
  <c r="M1004" i="1"/>
  <c r="O1004" i="1"/>
  <c r="D1005" i="1"/>
  <c r="E1005" i="1"/>
  <c r="F1005" i="1"/>
  <c r="J1005" i="1"/>
  <c r="M1005" i="1"/>
  <c r="O1005" i="1"/>
  <c r="D1006" i="1"/>
  <c r="E1006" i="1"/>
  <c r="F1006" i="1"/>
  <c r="J1006" i="1"/>
  <c r="M1006" i="1"/>
  <c r="O1006" i="1"/>
  <c r="D1007" i="1"/>
  <c r="E1007" i="1"/>
  <c r="F1007" i="1"/>
  <c r="J1007" i="1"/>
  <c r="M1007" i="1"/>
  <c r="O1007" i="1"/>
  <c r="D1008" i="1"/>
  <c r="E1008" i="1"/>
  <c r="F1008" i="1"/>
  <c r="J1008" i="1"/>
  <c r="M1008" i="1"/>
  <c r="O1008" i="1"/>
  <c r="D1009" i="1"/>
  <c r="E1009" i="1"/>
  <c r="F1009" i="1"/>
  <c r="J1009" i="1"/>
  <c r="M1009" i="1"/>
  <c r="O1009" i="1"/>
  <c r="D1010" i="1"/>
  <c r="E1010" i="1"/>
  <c r="F1010" i="1"/>
  <c r="J1010" i="1"/>
  <c r="M1010" i="1"/>
  <c r="O1010" i="1"/>
  <c r="D1011" i="1"/>
  <c r="E1011" i="1"/>
  <c r="F1011" i="1"/>
  <c r="J1011" i="1"/>
  <c r="M1011" i="1"/>
  <c r="O1011" i="1"/>
  <c r="D1012" i="1"/>
  <c r="E1012" i="1"/>
  <c r="F1012" i="1"/>
  <c r="J1012" i="1"/>
  <c r="M1012" i="1"/>
  <c r="O1012" i="1"/>
  <c r="D1013" i="1"/>
  <c r="E1013" i="1"/>
  <c r="F1013" i="1"/>
  <c r="J1013" i="1"/>
  <c r="M1013" i="1"/>
  <c r="O1013" i="1"/>
  <c r="D1014" i="1"/>
  <c r="E1014" i="1"/>
  <c r="F1014" i="1"/>
  <c r="J1014" i="1"/>
  <c r="M1014" i="1"/>
  <c r="O1014" i="1"/>
  <c r="D1015" i="1"/>
  <c r="E1015" i="1"/>
  <c r="F1015" i="1"/>
  <c r="J1015" i="1"/>
  <c r="M1015" i="1"/>
  <c r="O1015" i="1"/>
  <c r="D1016" i="1"/>
  <c r="E1016" i="1"/>
  <c r="F1016" i="1"/>
  <c r="J1016" i="1"/>
  <c r="M1016" i="1"/>
  <c r="O1016" i="1"/>
  <c r="D1017" i="1"/>
  <c r="E1017" i="1"/>
  <c r="F1017" i="1"/>
  <c r="J1017" i="1"/>
  <c r="M1017" i="1"/>
  <c r="O1017" i="1"/>
  <c r="D1018" i="1"/>
  <c r="E1018" i="1"/>
  <c r="F1018" i="1"/>
  <c r="J1018" i="1"/>
  <c r="M1018" i="1"/>
  <c r="O1018" i="1"/>
  <c r="D1019" i="1"/>
  <c r="E1019" i="1"/>
  <c r="F1019" i="1"/>
  <c r="J1019" i="1"/>
  <c r="M1019" i="1"/>
  <c r="O1019" i="1"/>
  <c r="D1020" i="1"/>
  <c r="E1020" i="1"/>
  <c r="F1020" i="1"/>
  <c r="J1020" i="1"/>
  <c r="M1020" i="1"/>
  <c r="O1020" i="1"/>
  <c r="D1021" i="1"/>
  <c r="E1021" i="1"/>
  <c r="F1021" i="1"/>
  <c r="J1021" i="1"/>
  <c r="M1021" i="1"/>
  <c r="O1021" i="1"/>
  <c r="D1022" i="1"/>
  <c r="E1022" i="1"/>
  <c r="F1022" i="1"/>
  <c r="J1022" i="1"/>
  <c r="M1022" i="1"/>
  <c r="O1022" i="1"/>
  <c r="D1023" i="1"/>
  <c r="E1023" i="1"/>
  <c r="F1023" i="1"/>
  <c r="J1023" i="1"/>
  <c r="M1023" i="1"/>
  <c r="O1023" i="1"/>
  <c r="D1024" i="1"/>
  <c r="E1024" i="1"/>
  <c r="F1024" i="1"/>
  <c r="J1024" i="1"/>
  <c r="M1024" i="1"/>
  <c r="O1024" i="1"/>
  <c r="D1025" i="1"/>
  <c r="E1025" i="1"/>
  <c r="F1025" i="1"/>
  <c r="J1025" i="1"/>
  <c r="M1025" i="1"/>
  <c r="O1025" i="1"/>
  <c r="D1026" i="1"/>
  <c r="E1026" i="1"/>
  <c r="F1026" i="1"/>
  <c r="J1026" i="1"/>
  <c r="M1026" i="1"/>
  <c r="O1026" i="1"/>
  <c r="D1027" i="1"/>
  <c r="E1027" i="1"/>
  <c r="F1027" i="1"/>
  <c r="J1027" i="1"/>
  <c r="M1027" i="1"/>
  <c r="O1027" i="1"/>
  <c r="D1028" i="1"/>
  <c r="E1028" i="1"/>
  <c r="F1028" i="1"/>
  <c r="J1028" i="1"/>
  <c r="M1028" i="1"/>
  <c r="O1028" i="1"/>
  <c r="D1029" i="1"/>
  <c r="E1029" i="1"/>
  <c r="F1029" i="1"/>
  <c r="J1029" i="1"/>
  <c r="M1029" i="1"/>
  <c r="O1029" i="1"/>
  <c r="D1030" i="1"/>
  <c r="E1030" i="1"/>
  <c r="F1030" i="1"/>
  <c r="J1030" i="1"/>
  <c r="M1030" i="1"/>
  <c r="O1030" i="1"/>
  <c r="D1031" i="1"/>
  <c r="E1031" i="1"/>
  <c r="F1031" i="1"/>
  <c r="J1031" i="1"/>
  <c r="M1031" i="1"/>
  <c r="O1031" i="1"/>
  <c r="D1032" i="1"/>
  <c r="E1032" i="1"/>
  <c r="F1032" i="1"/>
  <c r="J1032" i="1"/>
  <c r="M1032" i="1"/>
  <c r="O1032" i="1"/>
  <c r="D1033" i="1"/>
  <c r="E1033" i="1"/>
  <c r="F1033" i="1"/>
  <c r="J1033" i="1"/>
  <c r="M1033" i="1"/>
  <c r="O1033" i="1"/>
  <c r="D1034" i="1"/>
  <c r="E1034" i="1"/>
  <c r="F1034" i="1"/>
  <c r="J1034" i="1"/>
  <c r="M1034" i="1"/>
  <c r="O1034" i="1"/>
  <c r="D1035" i="1"/>
  <c r="E1035" i="1"/>
  <c r="F1035" i="1"/>
  <c r="J1035" i="1"/>
  <c r="M1035" i="1"/>
  <c r="O1035" i="1"/>
  <c r="D1036" i="1"/>
  <c r="E1036" i="1"/>
  <c r="F1036" i="1"/>
  <c r="J1036" i="1"/>
  <c r="M1036" i="1"/>
  <c r="O1036" i="1"/>
  <c r="D1037" i="1"/>
  <c r="E1037" i="1"/>
  <c r="F1037" i="1"/>
  <c r="J1037" i="1"/>
  <c r="M1037" i="1"/>
  <c r="O1037" i="1"/>
  <c r="D1038" i="1"/>
  <c r="E1038" i="1"/>
  <c r="F1038" i="1"/>
  <c r="J1038" i="1"/>
  <c r="M1038" i="1"/>
  <c r="O1038" i="1"/>
</calcChain>
</file>

<file path=xl/sharedStrings.xml><?xml version="1.0" encoding="utf-8"?>
<sst xmlns="http://schemas.openxmlformats.org/spreadsheetml/2006/main" count="8308" uniqueCount="1827">
  <si>
    <t>CEMPRESA</t>
  </si>
  <si>
    <t>FEJEC</t>
  </si>
  <si>
    <t>DISFACT</t>
  </si>
  <si>
    <t>CODSUM</t>
  </si>
  <si>
    <t>CODRUTA</t>
  </si>
  <si>
    <t>NMEDIDOR</t>
  </si>
  <si>
    <t>SUBEST</t>
  </si>
  <si>
    <t>NOMBRE</t>
  </si>
  <si>
    <t>DIRECCION</t>
  </si>
  <si>
    <t>UBIGEO</t>
  </si>
  <si>
    <t>NTARIFA</t>
  </si>
  <si>
    <t>TIPOCONEX</t>
  </si>
  <si>
    <t>NUMFACONEX</t>
  </si>
  <si>
    <t>NTELEFONO</t>
  </si>
  <si>
    <t>NMESDEUDA</t>
  </si>
  <si>
    <t>MFACT</t>
  </si>
  <si>
    <t>TCORTEP</t>
  </si>
  <si>
    <t>ESE</t>
  </si>
  <si>
    <t>SAYLLA</t>
  </si>
  <si>
    <t>OR030027</t>
  </si>
  <si>
    <t>PAUCCAR-KJURO--NELIDA</t>
  </si>
  <si>
    <t>AV--HUASCAR-S-N---SAYLLA</t>
  </si>
  <si>
    <t>BT5B</t>
  </si>
  <si>
    <t>Aerea</t>
  </si>
  <si>
    <t>CRBTA11</t>
  </si>
  <si>
    <t>OR030119</t>
  </si>
  <si>
    <t>CHAVEZ-JUAN</t>
  </si>
  <si>
    <t>AV-CUSCO---S-N</t>
  </si>
  <si>
    <t>CRBTA31</t>
  </si>
  <si>
    <t>CCOPA-FERNANDEZ--FELIX-VICTOR</t>
  </si>
  <si>
    <t>ESQUINA-INDEPENDENCIA-CALLE-VI</t>
  </si>
  <si>
    <t>TARAPAQUI-MENDOZA-BLAS</t>
  </si>
  <si>
    <t>SAYLLA-A--HUASCAR-J-8</t>
  </si>
  <si>
    <t>SARMIENTO-CCOPA--ELIAS</t>
  </si>
  <si>
    <t>CALLE-UNION-K18-A</t>
  </si>
  <si>
    <t>ALVAREZ--CARMEN--NN</t>
  </si>
  <si>
    <t>SAYLLA-A--HUASCAR-K-22</t>
  </si>
  <si>
    <t>PAUCCAR-IBARRA--JHON</t>
  </si>
  <si>
    <t>SECTOR-SANTA-BARBARA-S-N</t>
  </si>
  <si>
    <t>QUISPE-PAUCCAR--CIRILO-OSCAR</t>
  </si>
  <si>
    <t>CALLE-ESTADIO-S-N</t>
  </si>
  <si>
    <t>MUNICIPALIDAD-DE-SAYLLA</t>
  </si>
  <si>
    <t>CALLA-HUAMAN--PAULINO</t>
  </si>
  <si>
    <t>AV-CUSCO-S-N---SAYLLA</t>
  </si>
  <si>
    <t>AMAR-PAUCAR---JUSTINO</t>
  </si>
  <si>
    <t>AV--CUSCO-T-1</t>
  </si>
  <si>
    <t>QUILLAHUAMAN-MATAMOROS-MERCEDE</t>
  </si>
  <si>
    <t>DISTRITO-DE-SAYLLA-S-N</t>
  </si>
  <si>
    <t>SAN JERONIMO</t>
  </si>
  <si>
    <t>OR030124</t>
  </si>
  <si>
    <t>CUNZA-SULLCAHUAMAN-LUCY-</t>
  </si>
  <si>
    <t>KM-9-5-SAN-JERONIMO</t>
  </si>
  <si>
    <t>OR030136</t>
  </si>
  <si>
    <t>HURTADO-GAMARRA--VILMA-SILVIA</t>
  </si>
  <si>
    <t>MANZANAYOC-PRUCRO-HURAN-KM-9-C</t>
  </si>
  <si>
    <t>SEQUEIROS-FARFAN--JESUSA</t>
  </si>
  <si>
    <t>APV-ANGOSTURA-B-16</t>
  </si>
  <si>
    <t>OJEDA-CHULLCA-ADRIAN</t>
  </si>
  <si>
    <t>A-P-V--ANGOSTURA</t>
  </si>
  <si>
    <t>OR030128</t>
  </si>
  <si>
    <t>RUMACCA-HERENCIA-SABINA-</t>
  </si>
  <si>
    <t>MANZANAYOC--PUCRO-</t>
  </si>
  <si>
    <t>HUAMANI-PEREZ--RAUL</t>
  </si>
  <si>
    <t>SECT--MANZANAYOC-PUCRO-LT--N-5</t>
  </si>
  <si>
    <t>OR030096</t>
  </si>
  <si>
    <t>QUISPE-HERENCIA--VILMA</t>
  </si>
  <si>
    <t>A-P-V--CHINGO-GRANDE-S-N---SAY</t>
  </si>
  <si>
    <t>HUARO</t>
  </si>
  <si>
    <t>HERENCIA-FLORES-LEONCIO</t>
  </si>
  <si>
    <t>CHINGO-GRANDE-S-N</t>
  </si>
  <si>
    <t>-SABOR--Y--SAZON--S-A-C--</t>
  </si>
  <si>
    <t>CCANOPATA-SAYLLA---CHINGO-GRAN</t>
  </si>
  <si>
    <t>PORTILLA-PACHECO--RUPERTO</t>
  </si>
  <si>
    <t>ASOC-CHINGO-GRANDE</t>
  </si>
  <si>
    <t>ROJAS-DE-CORAHUA-ROSA</t>
  </si>
  <si>
    <t>TAMBO-REAL-S-N--CHINGO-CH</t>
  </si>
  <si>
    <t>QUISPE-PUMALLOCLLA--CRISTINA</t>
  </si>
  <si>
    <t>SALIZAR-CARRASCO--ANDRES-JUAN</t>
  </si>
  <si>
    <t>LOS-MANANATIALES</t>
  </si>
  <si>
    <t>OR030111</t>
  </si>
  <si>
    <t>QUISPE-MAMANI-SANTUSA-E-</t>
  </si>
  <si>
    <t>CONDEBAMBA-SAYLLA</t>
  </si>
  <si>
    <t>YABAR-LUNA--ARTURO-RAUL</t>
  </si>
  <si>
    <t>ZU-IGA-CRUZ-NELIDA</t>
  </si>
  <si>
    <t>APPR-P-ALTA-CONDEBAMB-44B</t>
  </si>
  <si>
    <t>YUPA-VIZA--SONIA</t>
  </si>
  <si>
    <t>COM--CONDEBAMBA---SAYLLA</t>
  </si>
  <si>
    <t>OR030057</t>
  </si>
  <si>
    <t>VALENCIA-ESCALANTE--JULIO</t>
  </si>
  <si>
    <t>EL-PALOMAR-S-N---SAYLLA</t>
  </si>
  <si>
    <t>HANCCO-ZARATE--FABIAN</t>
  </si>
  <si>
    <t>ANGOSTURA-ANTIGUA---SAYLLA</t>
  </si>
  <si>
    <t>OR030165</t>
  </si>
  <si>
    <t>GUEVARA-CUBA--LAUREANA</t>
  </si>
  <si>
    <t>APV--FERROVIARIOS</t>
  </si>
  <si>
    <t>PEREZ-ORTIZ--RENATO</t>
  </si>
  <si>
    <t>ASOC--EXFERROVIARIOS---SAYLLA</t>
  </si>
  <si>
    <t>RAMOS-DE-GARCIA--MARLENI</t>
  </si>
  <si>
    <t>OROPESA</t>
  </si>
  <si>
    <t>OR030164</t>
  </si>
  <si>
    <t>LINO-LUZA--ANTONIA</t>
  </si>
  <si>
    <t>APV-TRABAJADORES-FERROVIARIOS-</t>
  </si>
  <si>
    <t>POMAR-MANGA--JULIA</t>
  </si>
  <si>
    <t>APV--FERROVIARIOS-U---6</t>
  </si>
  <si>
    <t>LARICO-QUISPE-P--ROBERTO</t>
  </si>
  <si>
    <t>APV--FERROVIARIOS--G-5</t>
  </si>
  <si>
    <t>GONZALES-GONZALES--CESAR</t>
  </si>
  <si>
    <t>APV--FERROVIARIOS-LOTE-10</t>
  </si>
  <si>
    <t>OJEDA-ARQQUE--BONIFACIA</t>
  </si>
  <si>
    <t>APV--FUNDO-ACCOYOC-A--3-</t>
  </si>
  <si>
    <t>CHUQUIHUANCA--APAZA--NATIVIDO</t>
  </si>
  <si>
    <t>APV--FUNDO-ACCOYOC-A--13-</t>
  </si>
  <si>
    <t>OR030335</t>
  </si>
  <si>
    <t>LEON-MEZA--JUAN-DE-DIOS</t>
  </si>
  <si>
    <t>APV--AGUA-VIDA-CONDEBAMBA---S-</t>
  </si>
  <si>
    <t>GUTIERREZ-GUTIERREZ--FAUSTINA</t>
  </si>
  <si>
    <t>APV--AGUA-VIDA-CONDEBAMBA---R-</t>
  </si>
  <si>
    <t>LUNA-CJUNO--TEODORO</t>
  </si>
  <si>
    <t>SUCCLLI-CONDORI--CELESTINA</t>
  </si>
  <si>
    <t>APV--AGUA-VIDA-CONDEBAMBA---N-</t>
  </si>
  <si>
    <t>CONDORI-TACURI--EMILIANO</t>
  </si>
  <si>
    <t>APV--AGUA-VIDA-CONDEBAMBA---G-</t>
  </si>
  <si>
    <t>BONIFACIO-ROMERO--WALTER</t>
  </si>
  <si>
    <t>APV--AGUA-VIDA-CONDEBAMBA---A-</t>
  </si>
  <si>
    <t>HUAMAN-CONDORI--FILOMENA</t>
  </si>
  <si>
    <t>HUAYAPA-HUAMAN--VICTORIA</t>
  </si>
  <si>
    <t>A-P-V--RESIDENTES-DE-CCATCCA-M</t>
  </si>
  <si>
    <t>CAICAY</t>
  </si>
  <si>
    <t>OR020034</t>
  </si>
  <si>
    <t>SANCHEZ-HUAMAN--BASILIO</t>
  </si>
  <si>
    <t>CONDE-MIRANDA--RICAR</t>
  </si>
  <si>
    <t>PAUCARTAMBO</t>
  </si>
  <si>
    <t>OR020082</t>
  </si>
  <si>
    <t>PURIFICACION-VDA-DE-G-MARIA</t>
  </si>
  <si>
    <t>VILCABAMBA-S-N</t>
  </si>
  <si>
    <t>OR020181</t>
  </si>
  <si>
    <t>CUTIPA-QUISPE--GABINO</t>
  </si>
  <si>
    <t>COM--DE-CCOLLOTARO-CAICAY</t>
  </si>
  <si>
    <t>LOPEZ-HUAMAN--ROSENDO</t>
  </si>
  <si>
    <t>QUISPE-TURPO--ADRIAN</t>
  </si>
  <si>
    <t>URCOS</t>
  </si>
  <si>
    <t>HU010002</t>
  </si>
  <si>
    <t>SALAS-HERRERA--CESAR-AUGUSTO</t>
  </si>
  <si>
    <t>JR--KENNEDY-S--N---URCOS</t>
  </si>
  <si>
    <t>CCARHUARUPAY--BASILI--NN</t>
  </si>
  <si>
    <t>JR-KENNEDY-286</t>
  </si>
  <si>
    <t>DIAZ-GARRIDO--MARIA-DEL-ROSARI</t>
  </si>
  <si>
    <t>AV--MARIANO-SANTOS-126</t>
  </si>
  <si>
    <t>HU010001</t>
  </si>
  <si>
    <t>SILVIA-CARRASCO--N-</t>
  </si>
  <si>
    <t>JIRON-KENNEDY-179</t>
  </si>
  <si>
    <t>DIAZ-Z---JORGE</t>
  </si>
  <si>
    <t>JR--ARICA-173</t>
  </si>
  <si>
    <t>CASTILLO-ECHEVARRIA-NOEMI</t>
  </si>
  <si>
    <t>JR--ARICA-344</t>
  </si>
  <si>
    <t>DIAZ--ISABEL</t>
  </si>
  <si>
    <t>JR-28-JULIO-594</t>
  </si>
  <si>
    <t>ROCHA--ARISTIDES</t>
  </si>
  <si>
    <t>JR-HUASCAR-S-N</t>
  </si>
  <si>
    <t>CARHUARUPAY-L-PEDRO</t>
  </si>
  <si>
    <t>AV-HUASCAR-S-N</t>
  </si>
  <si>
    <t>LINARES--ROSA-DE</t>
  </si>
  <si>
    <t>JR--HUASCAR-102</t>
  </si>
  <si>
    <t>GONZALES-SERRANO-ELVA-ADELINA</t>
  </si>
  <si>
    <t>JR-FIGUEREDO-157</t>
  </si>
  <si>
    <t>TAYPE-ANCCALLE-ALEJANDRINA</t>
  </si>
  <si>
    <t>ALFONSO-UGARTE-LT6---MZ-W---UR</t>
  </si>
  <si>
    <t>QUISPE-CCARHUARUPAY-NELLY</t>
  </si>
  <si>
    <t>JR-A-UGARTE-S-N</t>
  </si>
  <si>
    <t>QUISPE-CCARH-ANGELICA-M-</t>
  </si>
  <si>
    <t>PROLONG--CUSCO</t>
  </si>
  <si>
    <t>QUI-ONEZ-CARDENAS--VENANCIO</t>
  </si>
  <si>
    <t>PROLONGACION-JR-28-DE-JULIO-S-</t>
  </si>
  <si>
    <t>SILVA-MARTIARENA--B-NANCY</t>
  </si>
  <si>
    <t>PROLONG--JR--ARICA-S-N-</t>
  </si>
  <si>
    <t>MAMANI-UTURUNCO--JUANA</t>
  </si>
  <si>
    <t>PROLONG--JR--ARICA-S-N---URCOS</t>
  </si>
  <si>
    <t>ROSADA--AYMITUMA--CIRIACO</t>
  </si>
  <si>
    <t>JR-CESAR-VALLEJO-S-N</t>
  </si>
  <si>
    <t>MENDOZA-F-MARGARITA--NN</t>
  </si>
  <si>
    <t>JR-KENNEDY---S-N</t>
  </si>
  <si>
    <t>CCARHUARUPAY-SANTA--CRUZ-ADOLF</t>
  </si>
  <si>
    <t>PROLG-MARIANO-SANTOS-S-N</t>
  </si>
  <si>
    <t>TTITO-VIVANCO--MARIO</t>
  </si>
  <si>
    <t>SECTOR-MARANNIYOC---URCOS</t>
  </si>
  <si>
    <t>UNANCHA-QUISPE--AURELIO</t>
  </si>
  <si>
    <t>AV--REPUBLICA-DE-CUBA-304---UR</t>
  </si>
  <si>
    <t>HUISA-CHECCA-JULIO-MACARIO</t>
  </si>
  <si>
    <t>PROLONG-MARIANO-SANTOS</t>
  </si>
  <si>
    <t>CHOQQUEHUALLPA-DE-CCARHUARUPAY</t>
  </si>
  <si>
    <t>JR--FERNANDO-BELAUNDE-TERRY-S-</t>
  </si>
  <si>
    <t>OFICINA-REGISTRO-MIL</t>
  </si>
  <si>
    <t>JR-MARIANO-MELGAR-S-N-</t>
  </si>
  <si>
    <t>SANCHES--FERNANDO</t>
  </si>
  <si>
    <t>JR--ZEPITA-S-N</t>
  </si>
  <si>
    <t>FARFAN-HUAMAN--EDITH</t>
  </si>
  <si>
    <t>JR-SOLITARIA-N--106</t>
  </si>
  <si>
    <t>CHAMPI--ALBERTO</t>
  </si>
  <si>
    <t>JR--PUMACAHUA-S-N</t>
  </si>
  <si>
    <t>GAYOSO-ZUNI--VALENTINA</t>
  </si>
  <si>
    <t>ASOC--VIRGEN-INMACULADA-CONCEP</t>
  </si>
  <si>
    <t>HAQUEHUA--MATEO</t>
  </si>
  <si>
    <t>PASJ-SANTA-ROSA-S-N</t>
  </si>
  <si>
    <t>LOPEZ--JUAN-C-</t>
  </si>
  <si>
    <t>AV-MARIANO-SANTOS-S-N</t>
  </si>
  <si>
    <t>HU010003</t>
  </si>
  <si>
    <t>CURASI-CHALLCO--ALEJANDRINA</t>
  </si>
  <si>
    <t>AV--MARIANO-SANTOS-S-N</t>
  </si>
  <si>
    <t>SALAZAR-CASQUINO-LUIS</t>
  </si>
  <si>
    <t>AV-VILCANOTA-330-URCOS</t>
  </si>
  <si>
    <t>ROSADA-CAMANI--CELSO</t>
  </si>
  <si>
    <t>CALLE-21-DE-JUNIO-S-N</t>
  </si>
  <si>
    <t>HANCCO-DUENAS-CELIA</t>
  </si>
  <si>
    <t>URB--TAMBILLO-S-N-</t>
  </si>
  <si>
    <t>NAVARRETE-DE-GARCIA--BELINDA-R</t>
  </si>
  <si>
    <t>JR--SAENZ-PE-A-246</t>
  </si>
  <si>
    <t>HU010004</t>
  </si>
  <si>
    <t>VILCAHUAMAN-LUNA-NATIVIDAD</t>
  </si>
  <si>
    <t>APV-TUPAC-AMARU-O-8</t>
  </si>
  <si>
    <t>HUAMAN-F--GUILLERMINA</t>
  </si>
  <si>
    <t>URB--TUPAC-AMARU-E-5</t>
  </si>
  <si>
    <t>CONDORI-MAMANI-FELIX</t>
  </si>
  <si>
    <t>URB-TUPAC-AMARU-H-6</t>
  </si>
  <si>
    <t>LOAIZA-CACERES--TORIBIO</t>
  </si>
  <si>
    <t>MOLLEMOCCO-ERAPATA-TUPAC-AMARU</t>
  </si>
  <si>
    <t>SALAS-MOSCOSO--NORA-VIRGINIA</t>
  </si>
  <si>
    <t>URB-TUPAC-AMARU-S-N</t>
  </si>
  <si>
    <t>ANCCALLE-QUISPE-HILARIO</t>
  </si>
  <si>
    <t>URB--CRISTO-SALVADOR-S-N-</t>
  </si>
  <si>
    <t>HU040040</t>
  </si>
  <si>
    <t>CASA-CONDORI-ENRIQUE</t>
  </si>
  <si>
    <t>COMUN-CCUNUCUNCA---S-N</t>
  </si>
  <si>
    <t>MEXICANO-Y-CRISPIN</t>
  </si>
  <si>
    <t>HU010007</t>
  </si>
  <si>
    <t>CHOQUE--JUAN</t>
  </si>
  <si>
    <t>URCOS-PAMPA-S-N</t>
  </si>
  <si>
    <t>HU010011</t>
  </si>
  <si>
    <t>LOPEZ-HUAMAN--JUANA</t>
  </si>
  <si>
    <t>PAMPACHULLA</t>
  </si>
  <si>
    <t>HUAMAN-Q--JULIA</t>
  </si>
  <si>
    <t>PAMPACHULLA---S-N</t>
  </si>
  <si>
    <t>HU010009</t>
  </si>
  <si>
    <t>SALAZAR--AUGUSTO</t>
  </si>
  <si>
    <t>PAMPACHULLA-S-N</t>
  </si>
  <si>
    <t>MAMANI-CHURA--PEDRO</t>
  </si>
  <si>
    <t>FLORES-PAUCCAR-FACUNDA</t>
  </si>
  <si>
    <t>TTUPA-CASILLA-ANITA</t>
  </si>
  <si>
    <t>CHAUPIMAYO-S-N</t>
  </si>
  <si>
    <t>YABAR-CARDENAS--CESAR-AUGUSTO</t>
  </si>
  <si>
    <t>C-C-URCUSPAMPA-S-N---URCOS</t>
  </si>
  <si>
    <t>HU010257</t>
  </si>
  <si>
    <t>I-E--51034--HATUNHUAYLLA</t>
  </si>
  <si>
    <t>HATUNHUAYLLA---PAMPACHULLA---U</t>
  </si>
  <si>
    <t>HU010006</t>
  </si>
  <si>
    <t>HUANCA-GONZALES-ROGER</t>
  </si>
  <si>
    <t>MUNAPATA-S-N</t>
  </si>
  <si>
    <t>INQUILLAY-QUISPE--EUSEBIO</t>
  </si>
  <si>
    <t>C-C--SALLAC---TTIKAPALLANA</t>
  </si>
  <si>
    <t>HU010005</t>
  </si>
  <si>
    <t>HUAMAN-HAQQUEHUA--PAULINO</t>
  </si>
  <si>
    <t>COMUNIDAD-PAROCAN-</t>
  </si>
  <si>
    <t>CONDENA--VALENTINA</t>
  </si>
  <si>
    <t>PARROCAN-S-N</t>
  </si>
  <si>
    <t>HU040120</t>
  </si>
  <si>
    <t>MAMANI-QUISPE-NIEVES</t>
  </si>
  <si>
    <t>CP--HUANCARMAYO---SALLAC</t>
  </si>
  <si>
    <t>HU040131</t>
  </si>
  <si>
    <t>HUAMAN-MESICANO-VICTOR</t>
  </si>
  <si>
    <t>C-P--PAMPACANCHA---SALLAC</t>
  </si>
  <si>
    <t>TURPO-QUISPE--JAIME</t>
  </si>
  <si>
    <t>SECT-PAMPACANCHA---SANTA-CRUZ-</t>
  </si>
  <si>
    <t>HU040121</t>
  </si>
  <si>
    <t>HUAMAN-HUAMAN-JULIAN</t>
  </si>
  <si>
    <t>SECTOR-IPACUNA-C-CONAMURO</t>
  </si>
  <si>
    <t>HUACAMAITA-H--FLORENCIO</t>
  </si>
  <si>
    <t>HUAYNASI-HUAMAN-ELENA</t>
  </si>
  <si>
    <t>SECTOR-IPACUNA-CCO-AMURO</t>
  </si>
  <si>
    <t>YUPANQUI-HUILLCA-FRANCISCA</t>
  </si>
  <si>
    <t>HU040122</t>
  </si>
  <si>
    <t>FERNANDES-LOPEZ-FELICIANO</t>
  </si>
  <si>
    <t>SECTOR-MARCANI-C-CONAMURO</t>
  </si>
  <si>
    <t>QUISPE-PUMA-BONIFACIO</t>
  </si>
  <si>
    <t>HU010012</t>
  </si>
  <si>
    <t>HUILLCAHUAMAN-CUEVA-TOMAS</t>
  </si>
  <si>
    <t>C-MOLLEBAMBA</t>
  </si>
  <si>
    <t>FERNANDES--ANDRES</t>
  </si>
  <si>
    <t>C--MOLLEBAMBA-S-N</t>
  </si>
  <si>
    <t>ESPINOZA-HUILLCAHUAMAN--GLADIS</t>
  </si>
  <si>
    <t>COM--DE-MOLLEBAMBA</t>
  </si>
  <si>
    <t>ANDAHUAYLILLAS</t>
  </si>
  <si>
    <t>HU010035</t>
  </si>
  <si>
    <t>HUILLCAHUAMAN-EMILIANO</t>
  </si>
  <si>
    <t>HUANCCARA---S-N</t>
  </si>
  <si>
    <t>NINA-SANTA-CRUZ-AMBROCIO</t>
  </si>
  <si>
    <t>CARO-SALCEDO-EDGARDO</t>
  </si>
  <si>
    <t>CCANIHUA-H-PABLO</t>
  </si>
  <si>
    <t>NINA-CCANIHUA-FELIPE</t>
  </si>
  <si>
    <t>HUANCA-USCAHI-ISABEL</t>
  </si>
  <si>
    <t>QUISPE-NINA-GUILLERMO</t>
  </si>
  <si>
    <t>RUIZ-H-NICOLASA</t>
  </si>
  <si>
    <t>CCANIHUA-Q-FRUCTUOSO</t>
  </si>
  <si>
    <t>CLUB-DE-MADRES</t>
  </si>
  <si>
    <t>HUAMAN-CCANIHUA--CLAUDIA</t>
  </si>
  <si>
    <t>HU030018</t>
  </si>
  <si>
    <t>USCACHI-NINALLAQUI--FLORENTINO</t>
  </si>
  <si>
    <t>BOLOGNESI---ANDAHUAYLILLA</t>
  </si>
  <si>
    <t>GARCIA-ACHAHUI--MIGUEL-FIDEL</t>
  </si>
  <si>
    <t>CALLE-AREQUIPA-N-425----ANDAHU</t>
  </si>
  <si>
    <t>SALON-COMUNAL-SALLOC</t>
  </si>
  <si>
    <t>CALLE-ESPINAR-ANDAHUAYLIL</t>
  </si>
  <si>
    <t>GUEVARA-GUILLEN--DANTE</t>
  </si>
  <si>
    <t>CALLE-ESPINAR-S-N---ANDAHUAYLI</t>
  </si>
  <si>
    <t>VALLENAS-GALIMBERTTI-IVAN</t>
  </si>
  <si>
    <t>ARICA-502-ANDAHUAYLILLAS</t>
  </si>
  <si>
    <t>HUISA-MERMA--PRUDENCIO</t>
  </si>
  <si>
    <t>CALLE-HUASCAR-Y-SANTOS-S-N</t>
  </si>
  <si>
    <t>CHAVEZ-SAVINA-CIRILA</t>
  </si>
  <si>
    <t>SANTANAYOC-ANDAHUAYLILLAS</t>
  </si>
  <si>
    <t>FARFAN-DAVILA--MATILDE</t>
  </si>
  <si>
    <t>PISTA-URCOS-S-N</t>
  </si>
  <si>
    <t>HU030019</t>
  </si>
  <si>
    <t>FLORES--ANGEL</t>
  </si>
  <si>
    <t>SAN-MARTIN-908---ANDAHUAYLILLA</t>
  </si>
  <si>
    <t>ARENAS--FELICIANO</t>
  </si>
  <si>
    <t>TACNA-S-N</t>
  </si>
  <si>
    <t>MENDOZA--GREGORIO</t>
  </si>
  <si>
    <t>GRAU-18</t>
  </si>
  <si>
    <t>HU030104</t>
  </si>
  <si>
    <t>ALVIZ-MONTANEZ--REYNALDO</t>
  </si>
  <si>
    <t>C-HATUMPAMPA-S-N</t>
  </si>
  <si>
    <t>HU030100</t>
  </si>
  <si>
    <t>PUCHO-HUAYLLAPUMA--CARMEN</t>
  </si>
  <si>
    <t>ASOC--JUAN-VELASCO-ALVARADO---</t>
  </si>
  <si>
    <t>HU030092</t>
  </si>
  <si>
    <t>GUZMAN-MULLISACA-M-PERCY</t>
  </si>
  <si>
    <t>URB-SR--DE-HUANCA</t>
  </si>
  <si>
    <t>CASTRO-UMERES-LOURDES</t>
  </si>
  <si>
    <t>APV-SR-HUANCA</t>
  </si>
  <si>
    <t>HU030213</t>
  </si>
  <si>
    <t>CHUQUIHUAITA-CCOYA--GREGORIA</t>
  </si>
  <si>
    <t>APV-NUEVA-GENERACION---ANDAHUA</t>
  </si>
  <si>
    <t>CCORAHUA-MAMANI--ROMUALDA</t>
  </si>
  <si>
    <t>APV-NUEVA-GENERACION-MZ-N---LT</t>
  </si>
  <si>
    <t>I-E-I--N--947-NUEVA-GENERACION</t>
  </si>
  <si>
    <t>NUEVA-GENERACION-ACCOPAMPA-S-N</t>
  </si>
  <si>
    <t>GUZMAN-ARENAS--FRIDA</t>
  </si>
  <si>
    <t>SALLOC-TEJACANANA---ANDAHUAYLI</t>
  </si>
  <si>
    <t>OLIVARES-MACCAPA--BETY-YANET</t>
  </si>
  <si>
    <t>QUEHUAR---ANDAHUAYLILLAS</t>
  </si>
  <si>
    <t>HU030020</t>
  </si>
  <si>
    <t>MULTIUSO-PI-IPAMPA--SALON</t>
  </si>
  <si>
    <t>CENTRO-POBLADO-PI-IPAMPA</t>
  </si>
  <si>
    <t>QUISPE-CUENTAS-ERNESTO</t>
  </si>
  <si>
    <t>AVDA-CUSCO-URCOS---S-N</t>
  </si>
  <si>
    <t>IDME-HANCCO--GENARO</t>
  </si>
  <si>
    <t>CURO-FERNANDEZ-MARCO-A-</t>
  </si>
  <si>
    <t>ENTRADA-A-LA-PAMPA</t>
  </si>
  <si>
    <t>ORTIZ-INQUILLAY--VICTOR-HUGO</t>
  </si>
  <si>
    <t>SACRISTANNIYOC---PI-IPAMPA</t>
  </si>
  <si>
    <t>LIMPE-SACACA-WALTER</t>
  </si>
  <si>
    <t>PINIPAMPA-S-N-</t>
  </si>
  <si>
    <t>HUANCA-ALMORA--HERMITA-O</t>
  </si>
  <si>
    <t>CENTRO-POBLADO-DE-PI-IPAMPA-S-</t>
  </si>
  <si>
    <t>CHAVES-MAMANI--JUANA-SANTUSA</t>
  </si>
  <si>
    <t>CENTOR-POBLADO-DE-PI-IPAMPA-S-</t>
  </si>
  <si>
    <t>CCOYA-CCARHUARUPAY--FELIX</t>
  </si>
  <si>
    <t>PI-IPAMPA-S-N</t>
  </si>
  <si>
    <t>HUILLCAHUAMAN-QUISPE--PAULINA</t>
  </si>
  <si>
    <t>CP--PI-IPAMPA-S-N---ANDAHUAYLI</t>
  </si>
  <si>
    <t>HU030224</t>
  </si>
  <si>
    <t>GALLEGOS-MAMANI--SEGUNDO</t>
  </si>
  <si>
    <t>C-C--RAYALLACTA---ANDAHUAYLILL</t>
  </si>
  <si>
    <t>PAREDES-CLEMENTE--ROGELIO</t>
  </si>
  <si>
    <t>HU030038</t>
  </si>
  <si>
    <t>CONDORI-QUISPE--MAXIMO</t>
  </si>
  <si>
    <t>SECTOR-SECSENCALLA-S-N</t>
  </si>
  <si>
    <t>CCAQUESTO-QUISPE--JESUSA</t>
  </si>
  <si>
    <t>SECSENCALLA---S-N</t>
  </si>
  <si>
    <t>YUCRA-TINTA-VALENTIN</t>
  </si>
  <si>
    <t>CHAVEZ-VARGAS-ALEJANDRINA</t>
  </si>
  <si>
    <t>SECSENCALLE-S-N-</t>
  </si>
  <si>
    <t>PANDO-DIAZ--YOAN-FREDDY</t>
  </si>
  <si>
    <t>C-C--SECCENCALLA-S-N---ANDAHUA</t>
  </si>
  <si>
    <t>HU030078</t>
  </si>
  <si>
    <t>CCOA-HANCCO-MARIO</t>
  </si>
  <si>
    <t>YUTTO-S-N</t>
  </si>
  <si>
    <t>CCOA-GUTIERREZ--WILE</t>
  </si>
  <si>
    <t>YUTTO</t>
  </si>
  <si>
    <t>CCOA-QUISPE--GUILLERMO</t>
  </si>
  <si>
    <t>FLORES-VALENCIA-ZENOBIO</t>
  </si>
  <si>
    <t>FLORES-VALENCIA--ZENOVIO</t>
  </si>
  <si>
    <t>YUTTO---ANDAHUAYLILLAS</t>
  </si>
  <si>
    <t>CONDORI-CCOYORI-JULIAN</t>
  </si>
  <si>
    <t>HU030254</t>
  </si>
  <si>
    <t>MAMANI-VARGAS-DEMETRIO</t>
  </si>
  <si>
    <t>COM-MANCCO-LUYCHO-AND-</t>
  </si>
  <si>
    <t>CHECCA-ROQQUE--JUANITA</t>
  </si>
  <si>
    <t>COM--YUTTO</t>
  </si>
  <si>
    <t>ZU-IGA-CHECCA--PEDRO-JULIO</t>
  </si>
  <si>
    <t>COMUNIDAD-DE-YUTTO</t>
  </si>
  <si>
    <t>QUISPE-QUISPE--ALBERTO</t>
  </si>
  <si>
    <t>HU030079</t>
  </si>
  <si>
    <t>CHECCA-VARGAS-PAULINO</t>
  </si>
  <si>
    <t>TTIOMAYO-S-N</t>
  </si>
  <si>
    <t>VALENCIA-QUISPE-JUAN</t>
  </si>
  <si>
    <t>HUISA-CHECCA-LIVIO</t>
  </si>
  <si>
    <t>CHECCA-USCAMAYTA-REMIGIO</t>
  </si>
  <si>
    <t>OLIVARES-TTAMI-A-DIONICIO</t>
  </si>
  <si>
    <t>MAMANI-HIRCO-TOMASA-</t>
  </si>
  <si>
    <t>PUMA-CCALA-JOSE</t>
  </si>
  <si>
    <t>PULLINQUE-S-N</t>
  </si>
  <si>
    <t>RONDOCAN</t>
  </si>
  <si>
    <t>HU030162</t>
  </si>
  <si>
    <t>GUTIERREZ-FLORES--PAULINA</t>
  </si>
  <si>
    <t>CC--CCOCHACOYLLOR---RONDOCAN</t>
  </si>
  <si>
    <t>QQUECCA-O-SUNI--FRANCISCA</t>
  </si>
  <si>
    <t>COM-MANCCO-ANDAHUAYLILLAS</t>
  </si>
  <si>
    <t>MAMANI-QUISPE--TOMAS</t>
  </si>
  <si>
    <t>HUAMAN-ALMIRON--FERMIN</t>
  </si>
  <si>
    <t>HUAMAN-APAZA--LAURIANA</t>
  </si>
  <si>
    <t>HUAMAN-APAZA--SEBASTIANA</t>
  </si>
  <si>
    <t>HU010270</t>
  </si>
  <si>
    <t>QUISPE-TARACAYA--VICENTE</t>
  </si>
  <si>
    <t>C-C--OCCORAN---URCOS</t>
  </si>
  <si>
    <t>C-C-OCCORAN-I-E--50766</t>
  </si>
  <si>
    <t>HUAMAN--CHECCA--HERMITA-O</t>
  </si>
  <si>
    <t>HUAMAN-OVIEDO--ESTEBAN</t>
  </si>
  <si>
    <t>CALDERON--CONDORI--ALCIDES</t>
  </si>
  <si>
    <t>HUAMAN--TARACAYA--ISABEL</t>
  </si>
  <si>
    <t>QUISPE-RAMOS--ANDRES</t>
  </si>
  <si>
    <t>TARACAYA-APAZA--SIMON</t>
  </si>
  <si>
    <t>TARACAYA-CCA-IHUA--SATURNINO</t>
  </si>
  <si>
    <t>HU010010</t>
  </si>
  <si>
    <t>QUISPE-TARACAYA--BENITO</t>
  </si>
  <si>
    <t>I-E--INICIAL--N-227</t>
  </si>
  <si>
    <t>TARACAYA-QUISPE--CLAUDIO</t>
  </si>
  <si>
    <t>HU010284</t>
  </si>
  <si>
    <t>SONCCO-ZARATE--JULIAN</t>
  </si>
  <si>
    <t>SECTOR-JATUNPAMPA---SULLUMAYO</t>
  </si>
  <si>
    <t>CONDORI-QUISPE--ELISA</t>
  </si>
  <si>
    <t>CONDORI-HUAMAN--HILDA</t>
  </si>
  <si>
    <t>APAZA-CHAI-A--IGNACIA</t>
  </si>
  <si>
    <t>CHAI-A-MAMANI--DARWIN</t>
  </si>
  <si>
    <t>HUAMAN-CCASA--GUMERCINDO</t>
  </si>
  <si>
    <t>HUAMAN-MAYO--NAZARIO</t>
  </si>
  <si>
    <t>CHAI-A-MAMANI--ANSELMO</t>
  </si>
  <si>
    <t>CHAI-A-MAMANI--FEDERICO</t>
  </si>
  <si>
    <t>INSTITUCION-EDUCATIVA--INICIAL</t>
  </si>
  <si>
    <t>HU010286</t>
  </si>
  <si>
    <t>HUAMAN-CCASA--VALERIO</t>
  </si>
  <si>
    <t>SECTOR-TOTORA---SULLUMAYO</t>
  </si>
  <si>
    <t>INQUILLAY-QUISPE--ANA</t>
  </si>
  <si>
    <t>HU010285</t>
  </si>
  <si>
    <t>LUNA-HUAMAN--ALEJANDRO</t>
  </si>
  <si>
    <t>SECTOR-U-ACORI---SULLUMAYO</t>
  </si>
  <si>
    <t>HU010287</t>
  </si>
  <si>
    <t>HUAMAN-FLOREZ--FIDELIA</t>
  </si>
  <si>
    <t>SECTOR-LLANQUE---SULLUMAYO</t>
  </si>
  <si>
    <t>HUAMAN-DE-CCORIMANYA--CASIMIRA</t>
  </si>
  <si>
    <t>CCASA-CONDORI--EDUARDO</t>
  </si>
  <si>
    <t>HU010288</t>
  </si>
  <si>
    <t>SONCCO-FLORES--RUPERTO</t>
  </si>
  <si>
    <t>SECTOR-CEBADAPATA---SULLUMAYO</t>
  </si>
  <si>
    <t>CHECCA-CONDORI--FRANCISCO</t>
  </si>
  <si>
    <t>HUAMAN-CHECCA--RAMIRO</t>
  </si>
  <si>
    <t>HU010283</t>
  </si>
  <si>
    <t>HUAMAN-HUAMAN--WASINGTON</t>
  </si>
  <si>
    <t>SECTOR-CCANCAHUA---SULLUMAYO</t>
  </si>
  <si>
    <t>APAZA-CHECCA--ALFREDO</t>
  </si>
  <si>
    <t>CCORIMANYA-MENDOZA--NORBERTO</t>
  </si>
  <si>
    <t>HUAMAN-HUAMAN--MARCELINO</t>
  </si>
  <si>
    <t>HUAMAN-HUAMAN--JUVENAL</t>
  </si>
  <si>
    <t>CCOLOMA-HUAMAN--JUANA</t>
  </si>
  <si>
    <t>DE-PICIGRANJA--CCANCAHUA</t>
  </si>
  <si>
    <t>HU010280</t>
  </si>
  <si>
    <t>CONDORI-QUISPE--LUIS-ALBERTO</t>
  </si>
  <si>
    <t>SECTOR-MUJUNCANCHA---SULLUMAYO</t>
  </si>
  <si>
    <t>QUISPE-MENDOZA--ANASTACIA</t>
  </si>
  <si>
    <t>RUIZ-KCOYA--ISAIAS</t>
  </si>
  <si>
    <t>FLORES-HUAMAN-DE-QUIS--CIPRIAN</t>
  </si>
  <si>
    <t>FLORES-CONDORI--MARTHA</t>
  </si>
  <si>
    <t>CCORIMANYA-LUPACA--ELEUTERIA</t>
  </si>
  <si>
    <t>INSTITUCION-EDUCATICA--NO-5090</t>
  </si>
  <si>
    <t>HU040163</t>
  </si>
  <si>
    <t>AYME-TURPO--EDUARDO</t>
  </si>
  <si>
    <t>CHURUBAMBA-ANDAHUAYLILLAS</t>
  </si>
  <si>
    <t>CCATCA</t>
  </si>
  <si>
    <t>HU040058</t>
  </si>
  <si>
    <t>YUCRA-YUCRA--POLICARPO</t>
  </si>
  <si>
    <t>MACHACCA-S-N-</t>
  </si>
  <si>
    <t>MAMANI-C--CRISPIN</t>
  </si>
  <si>
    <t>COMUNIDAD-MACHACA</t>
  </si>
  <si>
    <t>UTURUNCO-YUCA--HUGO-DAMASO</t>
  </si>
  <si>
    <t>MACHACCA-S-N---CCATCA</t>
  </si>
  <si>
    <t>SULLASI-YUCRA--FREDY</t>
  </si>
  <si>
    <t>UTURUNCO-QUENAYA--POLICARPO</t>
  </si>
  <si>
    <t>PACHACUTEC-CCOICCOSI-LUIS</t>
  </si>
  <si>
    <t>SULLASI-INQUILLAY--JUAN</t>
  </si>
  <si>
    <t>COM--DE-MACHACCA</t>
  </si>
  <si>
    <t>SULLASI-HUAYLLAS--JILBER</t>
  </si>
  <si>
    <t>COM-MACHACA-S-N</t>
  </si>
  <si>
    <t>MAMANI-CONDORI--CLARA</t>
  </si>
  <si>
    <t>COMUNIDAD-MACHACCA</t>
  </si>
  <si>
    <t>HANCCO-APAZA--LUCILA</t>
  </si>
  <si>
    <t>C-C-MACHACCA---URCOS</t>
  </si>
  <si>
    <t>HU040061</t>
  </si>
  <si>
    <t>ARONI-CHINO-APOLINAR</t>
  </si>
  <si>
    <t>CCOPI-S-N-</t>
  </si>
  <si>
    <t>GUTIERREZ-SANCHEZ-PASCUAL</t>
  </si>
  <si>
    <t>HUAYAPA-CHACCA--ENRIQUE</t>
  </si>
  <si>
    <t>SECTOR-KCARACALLE-CCOPI---CCAT</t>
  </si>
  <si>
    <t>HUAYLLANI-JANCCO-ERASMO</t>
  </si>
  <si>
    <t>ARONI-CHINO-HONORATA</t>
  </si>
  <si>
    <t>I-E--ANDRES--AVELINO-CACERES</t>
  </si>
  <si>
    <t>CCOPI-S-N---CCATCA</t>
  </si>
  <si>
    <t>QUISPE-MAMANI-AGUSTIN</t>
  </si>
  <si>
    <t>QUISPE-MAMANI-BACILIO</t>
  </si>
  <si>
    <t>LUNA-SULLCAPUMA-MATEO</t>
  </si>
  <si>
    <t>VARGAS-QUISPE-PEDRO</t>
  </si>
  <si>
    <t>JANCCO-MAMANI-PEDRO</t>
  </si>
  <si>
    <t>VARGAS-SUNI--LUCIO</t>
  </si>
  <si>
    <t>C--CCOPI-SECTOR-KCARACALLE---C</t>
  </si>
  <si>
    <t>SULLCAPUMA-CHARA-AGRIPINO</t>
  </si>
  <si>
    <t>CANSAYA-ILLA-CIPRIAN</t>
  </si>
  <si>
    <t>CHINO-TECSI-SANTUSA</t>
  </si>
  <si>
    <t>ILLA-HANCCO-EMETERIO</t>
  </si>
  <si>
    <t>HU040059</t>
  </si>
  <si>
    <t>CHURA-YUPANQUI-FLORENCIA</t>
  </si>
  <si>
    <t>CUYUNI-S-N-</t>
  </si>
  <si>
    <t>HUAMAN-CHARA-AMBROCIO</t>
  </si>
  <si>
    <t>VARGAS-QUISPE-HILDA-ADELAIDA</t>
  </si>
  <si>
    <t>HUAMAN-FERNANDEZ-TIBURCIO</t>
  </si>
  <si>
    <t>COMUNIDAD-DE--CUYUNI</t>
  </si>
  <si>
    <t>HU040062</t>
  </si>
  <si>
    <t>SALON-COMUNAL-DE-ATAPATA</t>
  </si>
  <si>
    <t>ATAPATA-S-N-</t>
  </si>
  <si>
    <t>SUMA-CASTILLA-LEOCADIA</t>
  </si>
  <si>
    <t>MAMANI-QUISPE-MARIO</t>
  </si>
  <si>
    <t>PEREZ-QUISPE--GILBERTO-FLORENC</t>
  </si>
  <si>
    <t>C-C--ATAPATA-S-N---CCATCA</t>
  </si>
  <si>
    <t>CRUZ-QUISPE--ELIZARIO</t>
  </si>
  <si>
    <t>COMUNIDAD-CAMPESINA-CCOPI</t>
  </si>
  <si>
    <t>HU04</t>
  </si>
  <si>
    <t>GUTIERREZ-HUAMAN--TOMAS-GRACIA</t>
  </si>
  <si>
    <t>COM-ATAPATA-S-N</t>
  </si>
  <si>
    <t>QUISPE-GUTIERRES--MARGARITA</t>
  </si>
  <si>
    <t>C-C--DE-ATAPATA-BAJO---CCATCA</t>
  </si>
  <si>
    <t>JANCCO-NOA--IGIDIO</t>
  </si>
  <si>
    <t>JANCCO-NOA--SEBASTIAN</t>
  </si>
  <si>
    <t>HU040123</t>
  </si>
  <si>
    <t>SARAYA-SUMA-NICANOR</t>
  </si>
  <si>
    <t>PUMAORCCO</t>
  </si>
  <si>
    <t>QUISPE-UTURUNCO-JULIO</t>
  </si>
  <si>
    <t>METODISTA-PUMAORCCO--IGLESIA</t>
  </si>
  <si>
    <t>C-C-PUMAORCCO-S-N---CCATCA</t>
  </si>
  <si>
    <t>SALON-COMUNAL-PUMAORCCO</t>
  </si>
  <si>
    <t>SARAYA-SULLCAPUMA--ZENON</t>
  </si>
  <si>
    <t>C-C-PUMAORCCO-S-N</t>
  </si>
  <si>
    <t>CANSAYA-HUALLPA-VICENTE</t>
  </si>
  <si>
    <t>NINA-TTITO--ALEJANDRO</t>
  </si>
  <si>
    <t>C-C-PUMAORCCO---CCATCA</t>
  </si>
  <si>
    <t>PEREZ-QUISPE--BELTRAN</t>
  </si>
  <si>
    <t>C-C--ATAPATA-ALTO-HUANCARANE--</t>
  </si>
  <si>
    <t>SUMA-LOPEZ--JOSE</t>
  </si>
  <si>
    <t>C-C--ATAPATA-ALTO-CENTRO---CCA</t>
  </si>
  <si>
    <t>QUISPE-JANCCO--LUIS</t>
  </si>
  <si>
    <t>JANCCO-JANCCO--TOMAS</t>
  </si>
  <si>
    <t>CASILLA-SARAYA--MARIO</t>
  </si>
  <si>
    <t>CASILLA-SARAYA--ALEJANDRO</t>
  </si>
  <si>
    <t>HU040113</t>
  </si>
  <si>
    <t>TTITO-QUISPE-ENCARNA</t>
  </si>
  <si>
    <t>COM--CAMPESINA-URPIA</t>
  </si>
  <si>
    <t>APAZA-TTITO-JUAN-PABLO</t>
  </si>
  <si>
    <t>CACHIRA-GUTIERREZ-LUZ-MARINA</t>
  </si>
  <si>
    <t>CONDORI-GUTIERREZ-MARIA-MERCED</t>
  </si>
  <si>
    <t>HU040129</t>
  </si>
  <si>
    <t>CHCHACCA-JORGE--JOAQUIN</t>
  </si>
  <si>
    <t>COM-CCONCHAPALLANA-CCATCA</t>
  </si>
  <si>
    <t>LUNA-SULLCAPUMA-JUVENAL</t>
  </si>
  <si>
    <t>COM--CAMP--CONCHAPALLANA</t>
  </si>
  <si>
    <t>YUPANQUI-CHURA-ZENOVIA</t>
  </si>
  <si>
    <t>CCUNO-CHACCA-CRISTINA</t>
  </si>
  <si>
    <t>VARGAS-CHINO-NICANOR</t>
  </si>
  <si>
    <t>HU040161</t>
  </si>
  <si>
    <t>MAMANI-CACERES--FAUSTINO</t>
  </si>
  <si>
    <t>CC-YACACHETA-S-N---CCATCA</t>
  </si>
  <si>
    <t>HUAMAN-HUILLCA--GREGORIO</t>
  </si>
  <si>
    <t>COMUNIDAD-YACCACHETA-S-N</t>
  </si>
  <si>
    <t>XXX</t>
  </si>
  <si>
    <t>CRUZ-SULLA--FAUSTINO</t>
  </si>
  <si>
    <t>ANEXO-QUISQUIHUASA---CCATCA</t>
  </si>
  <si>
    <t>HU040190</t>
  </si>
  <si>
    <t>JAQQUEHUA-LIPE--CRISTINA</t>
  </si>
  <si>
    <t>HU040146</t>
  </si>
  <si>
    <t>BARRETO-QUISPE--PABLO</t>
  </si>
  <si>
    <t>COMUNIDAD-CAMPESINA-HUAYLLABAM</t>
  </si>
  <si>
    <t>HU040201</t>
  </si>
  <si>
    <t>TURPO-TECSE--EZEQUIEL</t>
  </si>
  <si>
    <t>SECTOR-HUARA-HUARA-CC-HUARAHUA</t>
  </si>
  <si>
    <t>TECSI-HUAYCHAY--GERARDA</t>
  </si>
  <si>
    <t>CUTIPA-TURPO--JULIO</t>
  </si>
  <si>
    <t>HU040202</t>
  </si>
  <si>
    <t>MESICANO-CHAMPI--BRUNO-CALIXTO</t>
  </si>
  <si>
    <t>HUAICHAY-LUNA--MELQUIADES</t>
  </si>
  <si>
    <t>CUTIPA-QUISPE--VALERIO</t>
  </si>
  <si>
    <t>SECTOR-HUARA-HUARA-C-C--HUARAH</t>
  </si>
  <si>
    <t>HU040189</t>
  </si>
  <si>
    <t>LAURA-QUISPE--PABLO</t>
  </si>
  <si>
    <t>CCO-AHUIRE---CCATACA</t>
  </si>
  <si>
    <t>QUISPE-JAQQUEHUA--LUCIA</t>
  </si>
  <si>
    <t>ANEXO-CCO-AHUIRE--CCATCA</t>
  </si>
  <si>
    <t>QUISPE-JAQQEHUA--CASIMIRO</t>
  </si>
  <si>
    <t>ANEXO-CCA-AHUIRE---CCATCA</t>
  </si>
  <si>
    <t>HU040199</t>
  </si>
  <si>
    <t>CASILLA-HUILLCA--MODESTO</t>
  </si>
  <si>
    <t>C-C--YACCACHETA---CCATCA</t>
  </si>
  <si>
    <t>HU040204</t>
  </si>
  <si>
    <t>MU-OZ-CASTILLA--HILARIO</t>
  </si>
  <si>
    <t>COM--AUSARAY-SECTOR-PALLCAPAMP</t>
  </si>
  <si>
    <t>HUALLPA-POZO--ROSALIA</t>
  </si>
  <si>
    <t>CUEVAS-QQUENAYA--BERNARDINO</t>
  </si>
  <si>
    <t>HU040198</t>
  </si>
  <si>
    <t>CANSAYA-QQUENTA--TOMAS</t>
  </si>
  <si>
    <t>C-C--LLOQUETA-SECTOR-SAYHUAPAM</t>
  </si>
  <si>
    <t>SARAYA-QQUENTA--DEMETRIO</t>
  </si>
  <si>
    <t>SACA-APAZA--LEONIDAS</t>
  </si>
  <si>
    <t>HU040197</t>
  </si>
  <si>
    <t>CASILLA-QUISPE--AGUSTINA</t>
  </si>
  <si>
    <t>C-C--DE-ILLAPATA-S-N</t>
  </si>
  <si>
    <t>APAZA-QQUENTA--ESTEBAN</t>
  </si>
  <si>
    <t>HU040115</t>
  </si>
  <si>
    <t>NINA-HUALLPA--NICANOR</t>
  </si>
  <si>
    <t>COMUNIDAD-CAMPESINA-ULLPO---CC</t>
  </si>
  <si>
    <t>PHOCCO-PERCCA--ZENON</t>
  </si>
  <si>
    <t>SALON-COMUNAL-DE-ULLPO</t>
  </si>
  <si>
    <t>PERCCA-JACINTO--PEDRO</t>
  </si>
  <si>
    <t>CUEVAS-QQUENAYA--BENITO</t>
  </si>
  <si>
    <t>QQUENAYA-QUISPE--MATEO</t>
  </si>
  <si>
    <t>HU040116</t>
  </si>
  <si>
    <t>MU-OZ-MAMANI--MARCELINO</t>
  </si>
  <si>
    <t>COMUNIDAD-CAMPESINA-LLACHIC---</t>
  </si>
  <si>
    <t>HU040150</t>
  </si>
  <si>
    <t>QUISPE-CURASI--DOMINGO</t>
  </si>
  <si>
    <t>SECTOR-CCHACHIRA-SACSAYHUAMAN-</t>
  </si>
  <si>
    <t>TORRES-TACO--GREGORIO</t>
  </si>
  <si>
    <t>C-C--SACSAYHUAMAN-SECTOR-CACHI</t>
  </si>
  <si>
    <t>TORRES-YAPURA--CELERIO</t>
  </si>
  <si>
    <t>TACO-CURASI--MARIO</t>
  </si>
  <si>
    <t>HU040203</t>
  </si>
  <si>
    <t>HUALLPA-QUISPE--ENRIQUE</t>
  </si>
  <si>
    <t>CC-QUISINSAYA-SECTOR-QUISINSAY</t>
  </si>
  <si>
    <t>QUISPE-HANCCO--ANGELA</t>
  </si>
  <si>
    <t>C-C--QUISINSAYA-SECTOR-QUISINS</t>
  </si>
  <si>
    <t>HUAMANI-QUISPE--JESUS</t>
  </si>
  <si>
    <t>PERCCA-QQUENAYA--GRIMALDO</t>
  </si>
  <si>
    <t>C-C--SACSAYHUAMAN-SECTOR-YURAC</t>
  </si>
  <si>
    <t>JANCCO-CRUZ--ARTURO</t>
  </si>
  <si>
    <t>HU040149</t>
  </si>
  <si>
    <t>PRONOEI-YURACCANCHA</t>
  </si>
  <si>
    <t>TTITO-QQUENAYA--BALBINA</t>
  </si>
  <si>
    <t>LIMA-CACHIRA--GERARDO</t>
  </si>
  <si>
    <t>TTITTO-HANCCO--HILDA</t>
  </si>
  <si>
    <t>HU040195</t>
  </si>
  <si>
    <t>TORRES-LIMA--CELIA-ROSALIA</t>
  </si>
  <si>
    <t>C-C--SACSAYHUAMAN-SECTOR-RUMPU</t>
  </si>
  <si>
    <t>HU040196</t>
  </si>
  <si>
    <t>CUTIPA-LIMA--VICTOR</t>
  </si>
  <si>
    <t>C-C--SACSAYHUAMAN-SECTOR-MANAY</t>
  </si>
  <si>
    <t>HU040265</t>
  </si>
  <si>
    <t>QUISPE-CURASI--HILARIO</t>
  </si>
  <si>
    <t>SECT--AYAVIRI-DE-LA-C-C--DE-SA</t>
  </si>
  <si>
    <t>CHAMPI-QUISPE--MARCOS</t>
  </si>
  <si>
    <t>SECTOR-HUALLPAHORCCO---CC-HUAR</t>
  </si>
  <si>
    <t>CONDORI-TECSI--CELEDONIA</t>
  </si>
  <si>
    <t>CUTIPA-TURPO--SIMON</t>
  </si>
  <si>
    <t>HU040200</t>
  </si>
  <si>
    <t>AIME-QUISPE--JOEL-JOSEPH</t>
  </si>
  <si>
    <t>CCORICCOCHA---HUARA-HUARA---CC</t>
  </si>
  <si>
    <t>HUAYCHAY-CONDORI--ANASTACIO</t>
  </si>
  <si>
    <t>CHACCA-CANSAYA--DAMIAN</t>
  </si>
  <si>
    <t>QUISPE-AIME--AGUSTINA</t>
  </si>
  <si>
    <t>HU040226</t>
  </si>
  <si>
    <t>UTURUNCO-ORTIZ--VALERIO</t>
  </si>
  <si>
    <t>SECTOR-HUAJASPAMPA-C-C---MACHA</t>
  </si>
  <si>
    <t>CCOICCOSI-CCOICCOSI--VIRGINIA</t>
  </si>
  <si>
    <t>UTURUNCO-CCOICCOSI--DAMASO</t>
  </si>
  <si>
    <t>HU040244</t>
  </si>
  <si>
    <t>SUNI-HUAMAN--PABLO</t>
  </si>
  <si>
    <t>C-CCOPI-SECTOR-CHUMPICANCHA-CC</t>
  </si>
  <si>
    <t>ILLA-CHARA--PLACIDA</t>
  </si>
  <si>
    <t>HUAMAN-AYME--GREGORIO</t>
  </si>
  <si>
    <t>C--CCOPI-SECTOR-CHUMPICANCHA-C</t>
  </si>
  <si>
    <t>QUISPE-HUALLPA--ALICIA</t>
  </si>
  <si>
    <t>QUISPE-YUPANQUI--ISAAC</t>
  </si>
  <si>
    <t>MAMANI-VARGAS--HILARIO</t>
  </si>
  <si>
    <t>ILLA-JANCCO--EMETERIO</t>
  </si>
  <si>
    <t>TTITO-CARRASCO--RENE</t>
  </si>
  <si>
    <t>TTITO-NOA--PEDRO</t>
  </si>
  <si>
    <t>MAMANI-TEXSI--SABINA</t>
  </si>
  <si>
    <t>HU040266</t>
  </si>
  <si>
    <t>CUTIPA-LIMA--JESUS</t>
  </si>
  <si>
    <t>SECT--AYLLUCCASA-DE-LA-C--C--S</t>
  </si>
  <si>
    <t>HU040054</t>
  </si>
  <si>
    <t>QUISPE-QUIJHUA--JUSUSA</t>
  </si>
  <si>
    <t>TORRESCANCHA---C-C--AUSARAY---</t>
  </si>
  <si>
    <t>QUISPE-CASILLA--HILARIO</t>
  </si>
  <si>
    <t>QUISPE-SALAS--EUFRACIO</t>
  </si>
  <si>
    <t>CUTIPA-CURASI--VICITACION</t>
  </si>
  <si>
    <t>LOC--PAQUITACUCHO---CCATACAMAR</t>
  </si>
  <si>
    <t>QUISPE-CUTIPA--ABELINO</t>
  </si>
  <si>
    <t>AQUINO-CONDORI--SIMON</t>
  </si>
  <si>
    <t>AQUINO-TACO--ZENOBIA</t>
  </si>
  <si>
    <t>SECTOR-POCACANCHAPATA---CCATCC</t>
  </si>
  <si>
    <t>TECSI-QUISPE--GUILLERMINA</t>
  </si>
  <si>
    <t>SECTOR-OSCOMACHAY---URCOS</t>
  </si>
  <si>
    <t>QUISPE-MESICANO--LUISA</t>
  </si>
  <si>
    <t>SECTOR-CHAPIRI---HUARA-HUARA</t>
  </si>
  <si>
    <t>QUISPE-HUAQQUISTO--CELIA</t>
  </si>
  <si>
    <t>PANTIA-YUPANQUI--PEDRO</t>
  </si>
  <si>
    <t>FERNANDEZ-LOPEZ--FELICIANO</t>
  </si>
  <si>
    <t>FERNANDEZ-QUISPE--EMILIANA</t>
  </si>
  <si>
    <t>GUTIERREZ-QUISPE--BENEDICTO</t>
  </si>
  <si>
    <t>PANTIA-TAIPE--TEOFILA</t>
  </si>
  <si>
    <t>ANCCALLE-CCAPA--LUCIO</t>
  </si>
  <si>
    <t>SECTOR-CONCHUPATA---HUARA-HUAR</t>
  </si>
  <si>
    <t>CCALLATA-QUISPE--DIONICIA</t>
  </si>
  <si>
    <t>HU040042</t>
  </si>
  <si>
    <t>TORRES-ORE--ADA-ELVIRA</t>
  </si>
  <si>
    <t>CALLE-BOLIVAR-S-N-CCATCA</t>
  </si>
  <si>
    <t>CAMA-CHACON--MORAIMA</t>
  </si>
  <si>
    <t>ALMIRANTE-GRAU-S-N</t>
  </si>
  <si>
    <t>CAMA-CHACON--LUZ-MORAIMA</t>
  </si>
  <si>
    <t>CALLE-MATIAS-TRONCOSO-CCATCA</t>
  </si>
  <si>
    <t>VARGAS-HUAMAN--SANTUSA</t>
  </si>
  <si>
    <t>CALLE-MATIAS-TRONCOSO---CCATCA</t>
  </si>
  <si>
    <t>HUAMAN-HUILLCA-GUALBERTO</t>
  </si>
  <si>
    <t>CCATCA-S-N</t>
  </si>
  <si>
    <t>VARGAS-CHINO--NICANOR</t>
  </si>
  <si>
    <t>SECT-LLAULLIYOC-S-N---C-C-CCOP</t>
  </si>
  <si>
    <t>VARGAS-CANSAYA--ALEJANDRO</t>
  </si>
  <si>
    <t>SECT-LLAULLIYOC-S-N--CC-CCOPI-</t>
  </si>
  <si>
    <t>MAMANI-MAMANI--LUISA-FRANCISCA</t>
  </si>
  <si>
    <t>SECTOR-LLAULLIYOC-S-N---CCOPI-</t>
  </si>
  <si>
    <t>HU040105</t>
  </si>
  <si>
    <t>AQUINO-VARGAS--SAMUEL</t>
  </si>
  <si>
    <t>CCOPI-BAJO-CCATCA</t>
  </si>
  <si>
    <t>CCAMA-QQUECA-O-GREGORIA</t>
  </si>
  <si>
    <t>CCOPI-BAJO</t>
  </si>
  <si>
    <t>CHINO-TACURI-APOLINAR</t>
  </si>
  <si>
    <t>HUAYAPA-ZEGARRA-RUDECINDA</t>
  </si>
  <si>
    <t>TTITO-VARGAS--EUSEBIO</t>
  </si>
  <si>
    <t>C-C-CCOPI-BAJO-S-N</t>
  </si>
  <si>
    <t>HU040060</t>
  </si>
  <si>
    <t>FERNANDEZ-QUISPE-TORIBIO</t>
  </si>
  <si>
    <t>PINIPUQUIO</t>
  </si>
  <si>
    <t>AYME-FLOREZ-VICTOR</t>
  </si>
  <si>
    <t>NINA-NOA-VALENTIN</t>
  </si>
  <si>
    <t>HUALLPA-QUISPE-IDELFONSO</t>
  </si>
  <si>
    <t>HU040063</t>
  </si>
  <si>
    <t>QUISPE-CCOA--ISIDRO</t>
  </si>
  <si>
    <t>YURACMAYO-S-N</t>
  </si>
  <si>
    <t>LAURA-HUAMAN-LEONARDO</t>
  </si>
  <si>
    <t>YURACMAYO</t>
  </si>
  <si>
    <t>HU040071</t>
  </si>
  <si>
    <t>ANTENA-PARABOLICA-ANDAYAQUE</t>
  </si>
  <si>
    <t>ANDAYAQUI-S-N-</t>
  </si>
  <si>
    <t>QUISPE-MAMANI-JULIA</t>
  </si>
  <si>
    <t>FLORES-PERCCA-WASHINGTON</t>
  </si>
  <si>
    <t>GARCIA-TINCO-CASIANO</t>
  </si>
  <si>
    <t>QUISPE-PERCCA-PORFIRIO</t>
  </si>
  <si>
    <t>CANDIA-ROMERO-AGUSTIN</t>
  </si>
  <si>
    <t>FLORES-QUISPE-AGRIPINO</t>
  </si>
  <si>
    <t>QUISPE-ROMERO-MARIANO</t>
  </si>
  <si>
    <t>ROMERO-SUCLLI-EUSEBIO</t>
  </si>
  <si>
    <t>PUCUTUNI-MACHACA-VIVIAN</t>
  </si>
  <si>
    <t>CANDIA-ROMERO-CLAUDIO</t>
  </si>
  <si>
    <t>HU040074</t>
  </si>
  <si>
    <t>HUAYTA-TINTAYA-PABLO</t>
  </si>
  <si>
    <t>CCAPANA-S-N-</t>
  </si>
  <si>
    <t>QUENAYA-SILVA-IGNACIO</t>
  </si>
  <si>
    <t>HUALLPA-QUISPE--PETRONILA</t>
  </si>
  <si>
    <t>COM--CCAPANA-S-N--CCATCA</t>
  </si>
  <si>
    <t>HUALLPA-SILVA-JAVIER</t>
  </si>
  <si>
    <t>HUAMAN-YAPURA--GREGORIO</t>
  </si>
  <si>
    <t>MUNCIPALIDAD-DE-CCATCA</t>
  </si>
  <si>
    <t>NUEVA-ESPERANZA-CCAPANA</t>
  </si>
  <si>
    <t>OCONGATE</t>
  </si>
  <si>
    <t>LIPE-CCACCASTO--VICENTINA</t>
  </si>
  <si>
    <t>C-C--CCAPANA---OCONGATE</t>
  </si>
  <si>
    <t>SILVA-GONZALES--ISIDRO</t>
  </si>
  <si>
    <t>C-C--CCAPANA-S-N---CCATCA</t>
  </si>
  <si>
    <t>HUALLPA-MAYO--YSMAEL</t>
  </si>
  <si>
    <t>YUCRA-YUPANQUI-ZACARIAS</t>
  </si>
  <si>
    <t>CONDORI-HUANCA-CIRILO</t>
  </si>
  <si>
    <t>CCARHUAYO</t>
  </si>
  <si>
    <t>HU040072</t>
  </si>
  <si>
    <t>CONDORI-H--PEDRO</t>
  </si>
  <si>
    <t>SUMANA-S-N</t>
  </si>
  <si>
    <t>TURPO-CONDORI-VICENTE</t>
  </si>
  <si>
    <t>PAUCCAR-CONDORI-MARIA</t>
  </si>
  <si>
    <t>HU040075</t>
  </si>
  <si>
    <t>ULLOA-CONDORI-ELISEO</t>
  </si>
  <si>
    <t>PARCCOCCALLA-S-N</t>
  </si>
  <si>
    <t>ULLOA-CORONEL-JUANA</t>
  </si>
  <si>
    <t>QUISPE-ULLOA-TIMOTEO</t>
  </si>
  <si>
    <t>CONDORI-MENDOZA-JULIAN</t>
  </si>
  <si>
    <t>PARCCOCCALLA-S-N-</t>
  </si>
  <si>
    <t>HU040046</t>
  </si>
  <si>
    <t>CJANAHUIRE-JANCCO-VALERIO</t>
  </si>
  <si>
    <t>CCATCCAPAMPA</t>
  </si>
  <si>
    <t>QQUENAYA-APAZA--JESUS</t>
  </si>
  <si>
    <t>COMUNIDAD-CCATCCAPAMPA</t>
  </si>
  <si>
    <t>AYME-TUNQUIPA--LUCILA</t>
  </si>
  <si>
    <t>QUISPE-QUISPE-ALEJANDRO</t>
  </si>
  <si>
    <t>HU040065</t>
  </si>
  <si>
    <t>HUAMAN-AQUINO-JULIA</t>
  </si>
  <si>
    <t>SONCCOMARCA-S-N</t>
  </si>
  <si>
    <t>SUCLLI-SUCLLI-ERASMO</t>
  </si>
  <si>
    <t>AQUINO-LAURA-FORTUNATO</t>
  </si>
  <si>
    <t>SUCLLE-SUCLLE-FLORENCIO</t>
  </si>
  <si>
    <t>SUCLLE-QUISPE-POMPEYO</t>
  </si>
  <si>
    <t>SUCLLE-CURASI-PAULINA</t>
  </si>
  <si>
    <t>ALARCON-HUAMAN-AGUSTIN</t>
  </si>
  <si>
    <t>QUISPE-LAYME-ANTONIO</t>
  </si>
  <si>
    <t>HU040064</t>
  </si>
  <si>
    <t>SALON-MULTIUSO-</t>
  </si>
  <si>
    <t>UMUTO</t>
  </si>
  <si>
    <t>CCACCASTO-SUCLLI-BONIFACIO</t>
  </si>
  <si>
    <t>QUISPE-CCOYCCOSI-RUFINO</t>
  </si>
  <si>
    <t>CCACCASTO-QUISPE-IGIDIO</t>
  </si>
  <si>
    <t>QUISPE-GUTIERREZ-BENIGNO</t>
  </si>
  <si>
    <t>QUISPE-QUISPE-CEFERINO</t>
  </si>
  <si>
    <t>CCACCASTO-CCOYCCOSI-TIOFILO</t>
  </si>
  <si>
    <t>QUISPE-VASQUEZ--TORIBIA</t>
  </si>
  <si>
    <t>COM--UMUTO</t>
  </si>
  <si>
    <t>YAURI-QUISPE-APOLONIO</t>
  </si>
  <si>
    <t>CHURA-QUISPE--LUCIA</t>
  </si>
  <si>
    <t>COMUNIDAD-UMUTO</t>
  </si>
  <si>
    <t>QUISPE-QUISPE-GABINO</t>
  </si>
  <si>
    <t>VASQUEZ-HUAMANQUILLAY-YOLANDA</t>
  </si>
  <si>
    <t>QUISPE-CCACCASTO-APOLINAR</t>
  </si>
  <si>
    <t>QUISPE-HUAMANQUILLAY--JULIA</t>
  </si>
  <si>
    <t>COM--UMUTO-S-N</t>
  </si>
  <si>
    <t>QUENAYA-QUISPE--JUAN</t>
  </si>
  <si>
    <t>QUISPE-CUTIPA--SALVADOR-TEODOR</t>
  </si>
  <si>
    <t>UMUTO-S-N</t>
  </si>
  <si>
    <t>VASQUEZ-HUAMANQUILLAY-ELMER</t>
  </si>
  <si>
    <t>ANCALLE-QUISPE--JUAN-CANCIO</t>
  </si>
  <si>
    <t>COM-UMUTO</t>
  </si>
  <si>
    <t>CCOPA-JALLASI-ASENCIO</t>
  </si>
  <si>
    <t>HU040052</t>
  </si>
  <si>
    <t>GUTIERREZ-DIAZ-JULIO</t>
  </si>
  <si>
    <t>PLAZA-DE-ARMAS-S-N</t>
  </si>
  <si>
    <t>QUERO-GOMEZ-VICTOR</t>
  </si>
  <si>
    <t>CALLE-27-DE-NOVIEMBRE-S-N</t>
  </si>
  <si>
    <t>MEZA-GOMEZ--LUIS</t>
  </si>
  <si>
    <t>CCARHUAYO-S-N</t>
  </si>
  <si>
    <t>ZARATE-LUCHO--MARIA</t>
  </si>
  <si>
    <t>CCARHUAYO-S-N-</t>
  </si>
  <si>
    <t>ACROTA-VEGA-GRIMALDO</t>
  </si>
  <si>
    <t>CARHUAYO</t>
  </si>
  <si>
    <t>ACROTA-VEGA-SACARIAS</t>
  </si>
  <si>
    <t>VITORINO-GARCIA--FLORENTINO</t>
  </si>
  <si>
    <t>QQUEROCHIMPA---CCARHUAYO</t>
  </si>
  <si>
    <t>QUISPE-MELO-FLAVIO</t>
  </si>
  <si>
    <t>GARCIA-HUILLCA-ROSA</t>
  </si>
  <si>
    <t>GARCIA-PAUCAR-JUSTINO</t>
  </si>
  <si>
    <t>CALLE-27-NOVIEMBRE-CARHUA</t>
  </si>
  <si>
    <t>HU040076</t>
  </si>
  <si>
    <t>CIRILA-QUISPE-S-</t>
  </si>
  <si>
    <t>HUEQUEUNO</t>
  </si>
  <si>
    <t>YAPURA-YUCRA-LUCIO</t>
  </si>
  <si>
    <t>HU040047</t>
  </si>
  <si>
    <t>LAYME-TTITO--HILARIA</t>
  </si>
  <si>
    <t>COM--DE-PAMPACAMARA</t>
  </si>
  <si>
    <t>PAMPACAMARA-S-N</t>
  </si>
  <si>
    <t>CONDORI-TTITO-NIEVES</t>
  </si>
  <si>
    <t>PAMPACAMARA</t>
  </si>
  <si>
    <t>VALERIANO-H-ELISBAN</t>
  </si>
  <si>
    <t>CURASI-CUTIPA--CELSO</t>
  </si>
  <si>
    <t>QUISPE-HUALLPA--AGRIPINO</t>
  </si>
  <si>
    <t>C-C--PAMPACAMARA---CCATCA</t>
  </si>
  <si>
    <t>CONDORI-P--FORTUNATO</t>
  </si>
  <si>
    <t>TTITO-C--MODESTO</t>
  </si>
  <si>
    <t>QUISPE-TTITO--CLAUDIO</t>
  </si>
  <si>
    <t>PAMPACAMARA-S-N---CCATCA</t>
  </si>
  <si>
    <t>GUTIERREZ-TTUPA--RUPERTO</t>
  </si>
  <si>
    <t>CASILLA-TTITO-DORIS</t>
  </si>
  <si>
    <t>CASILLA-TTITO-DONATO-</t>
  </si>
  <si>
    <t>PAMPACAMARA-BAJA</t>
  </si>
  <si>
    <t>HU040325</t>
  </si>
  <si>
    <t>CRUZ-HUAMAN-GRIMALDO</t>
  </si>
  <si>
    <t>TTITO-CACHIRA-BENEDICTA</t>
  </si>
  <si>
    <t>KCAURI-BARRIO-COMBAPATA</t>
  </si>
  <si>
    <t>HU040326</t>
  </si>
  <si>
    <t>QQUENAYA-SULLA--SANTOS</t>
  </si>
  <si>
    <t>SECTOR-COMBAPATA-S-N---KCAURI-</t>
  </si>
  <si>
    <t>LAYME-TTITO-EUSEBIO</t>
  </si>
  <si>
    <t>PAMPACAMARA-S-N-</t>
  </si>
  <si>
    <t>CASILLA-HUALLPA--ALEJANDRO</t>
  </si>
  <si>
    <t>HU040327</t>
  </si>
  <si>
    <t>CASILLA-HUALLPA-ALEJANDRO</t>
  </si>
  <si>
    <t>JANCCO-AQUINO--FELICIANO</t>
  </si>
  <si>
    <t>C-C-PAMPACAMARA-S-N---CCATCA</t>
  </si>
  <si>
    <t>AQUILINO-AYME-TTITO</t>
  </si>
  <si>
    <t>QUISPE-APAZA--JOSE-ORLANDO</t>
  </si>
  <si>
    <t>SECTOR-PATACAMARA---URCOS</t>
  </si>
  <si>
    <t>HUALLPA-TTITO-ANDRES</t>
  </si>
  <si>
    <t>APAZA-TTITO--SANTOS</t>
  </si>
  <si>
    <t>C-C-PAMPACAMARA-S-N---URCOS</t>
  </si>
  <si>
    <t>TTITO-CACHIRA-TEOFILO</t>
  </si>
  <si>
    <t>COMUNIDAD-PAMPACAMARA</t>
  </si>
  <si>
    <t>TTITO-QUISPE-MOISES</t>
  </si>
  <si>
    <t>HU040328</t>
  </si>
  <si>
    <t>IGLESIA-EVANGELICA-BAUTISTA-</t>
  </si>
  <si>
    <t>HU040048</t>
  </si>
  <si>
    <t>TTITO-HUAMAN-BAUTISTA</t>
  </si>
  <si>
    <t>PAMPAMARCA-ALTA-CCATCCA</t>
  </si>
  <si>
    <t>CASILLA-TTITO-SIMON-LUIS</t>
  </si>
  <si>
    <t>PAMAPACAMARA-ALTA</t>
  </si>
  <si>
    <t>GUTIERREZ-LAYME--BENEDICTA</t>
  </si>
  <si>
    <t>PAMPACAMARA-ALTA</t>
  </si>
  <si>
    <t>CASILLA-CACHIRA--NICASIA</t>
  </si>
  <si>
    <t>C--PAMPACAMARA-SECTOR-CHULLO--</t>
  </si>
  <si>
    <t>HU040049</t>
  </si>
  <si>
    <t>HUALLPA-APAZA--ENGRACIA</t>
  </si>
  <si>
    <t>C-C--PAMPACAMARA---URCOS</t>
  </si>
  <si>
    <t>LAYME-LIMA--NANCY</t>
  </si>
  <si>
    <t>PAMPACCAMARA-S-N-</t>
  </si>
  <si>
    <t>YAPURA-LUNA--LUCIO</t>
  </si>
  <si>
    <t>PARCIALIDAD-DE-YANAMA---OCONGA</t>
  </si>
  <si>
    <t>CRUZ-HALANOCCA-JULIAN</t>
  </si>
  <si>
    <t>YANAMA-S-N</t>
  </si>
  <si>
    <t>HUALLPA-A--LUCIO</t>
  </si>
  <si>
    <t>NINA-CUTIPA-TEOFILO</t>
  </si>
  <si>
    <t>YANAMA</t>
  </si>
  <si>
    <t>GONZALO-T--TOMAS</t>
  </si>
  <si>
    <t>CASILLA-TACO-MARTIN</t>
  </si>
  <si>
    <t>CCATACAMARA</t>
  </si>
  <si>
    <t>QUISPE-CONDORI-MARIZA</t>
  </si>
  <si>
    <t>AQUINO-CONDORI-SIMON</t>
  </si>
  <si>
    <t>CCATACCAMARA</t>
  </si>
  <si>
    <t>AQUINO-CUTIPA--BELTRAN</t>
  </si>
  <si>
    <t>C-C--CCATACAMARA-S-N---CCATCA</t>
  </si>
  <si>
    <t>CUTIPA-TACO-JULIO</t>
  </si>
  <si>
    <t>CRUZ-VARGAS--AGRIPINO</t>
  </si>
  <si>
    <t>CENT--POBL-CCATACAMARA-S-N</t>
  </si>
  <si>
    <t>AQUINO-CUTIPA-ELEUTERIO</t>
  </si>
  <si>
    <t>AQUINO-TAPIA-ROSA</t>
  </si>
  <si>
    <t>I-E--JOSE--ABELARDO-QUI-ONES</t>
  </si>
  <si>
    <t>C-C-CCATACCAMARA---CCATCA</t>
  </si>
  <si>
    <t>HU040053</t>
  </si>
  <si>
    <t>CHILLIHUANI-GARCIA--HILARIO</t>
  </si>
  <si>
    <t>CHACACHIMPA---OCONGATE</t>
  </si>
  <si>
    <t>HUALLPA-QUISPE--EUFEMIO</t>
  </si>
  <si>
    <t>CALLE-CUSCO-CHACACHINPA-OCONGA</t>
  </si>
  <si>
    <t>TURPO-C-PASCUAL</t>
  </si>
  <si>
    <t>CHACACHIMPA</t>
  </si>
  <si>
    <t>QUENAYA-Q-ANGEL</t>
  </si>
  <si>
    <t>YAPURA-HUALLPA--JUSTA</t>
  </si>
  <si>
    <t>CHACACHIMPA-S-N---OCONGATE</t>
  </si>
  <si>
    <t>LIMACHI-CCORIMANYA-HILDA</t>
  </si>
  <si>
    <t>PARCIALIDAD-CHACACHIMPA</t>
  </si>
  <si>
    <t>TORRES-APARICIO--WILBERT</t>
  </si>
  <si>
    <t>HU040336</t>
  </si>
  <si>
    <t>ACHAHUI-C-FROILAN</t>
  </si>
  <si>
    <t>ULLOA-PAUCARMAYTA-VILMA-I-</t>
  </si>
  <si>
    <t>CALLE-MIRAFLORES-S-N-OCON</t>
  </si>
  <si>
    <t>HU040337</t>
  </si>
  <si>
    <t>Y-ALEGRIA-NRO-44--FE</t>
  </si>
  <si>
    <t>CALLE-MIRAFLORES-S-N-OCONGATE</t>
  </si>
  <si>
    <t>GUTIERREZ-DIAZ--VICTORIA</t>
  </si>
  <si>
    <t>JR-CUSCO-S-N---OCONGATE</t>
  </si>
  <si>
    <t>QQUENAYA-BONIFACIO--MAURA-ZORA</t>
  </si>
  <si>
    <t>PLAZA-DE-ARMAS-CALLE-CUSCO----</t>
  </si>
  <si>
    <t>QUISPE-YUCRA--ROSALIA</t>
  </si>
  <si>
    <t>CALLE-MIRAFLORES-S-N---OCONGAT</t>
  </si>
  <si>
    <t>CALLE-LIBERTAD-S-N---OCONGATE</t>
  </si>
  <si>
    <t>GONZALO-LAYME--CLAUDIA</t>
  </si>
  <si>
    <t>CALLE-TAYANCANI-S-N---OCONGATE</t>
  </si>
  <si>
    <t>MACHACCA-HUISA--WALTER</t>
  </si>
  <si>
    <t>CCOCHAPATA-LT--Z-1---OCONGATE</t>
  </si>
  <si>
    <t>MENDOZA-MAMANI--ROBERTO</t>
  </si>
  <si>
    <t>BARRIO-PICCHO-ALTO-S-N---OCONG</t>
  </si>
  <si>
    <t>HU040050</t>
  </si>
  <si>
    <t>CCOYCCOSI-MAMANI--HILDA</t>
  </si>
  <si>
    <t>COM--AUSARAY-SECTOR-HUATTAPATA</t>
  </si>
  <si>
    <t>QUISPE-SULLA-DEMETRIO</t>
  </si>
  <si>
    <t>AUSARAY-S-N</t>
  </si>
  <si>
    <t>ARONI-YUCRA-PEDRO</t>
  </si>
  <si>
    <t>HUAMAN-QUISPE-JULIAN</t>
  </si>
  <si>
    <t>QUISPE-JAQQUEHUA-ROSENDO</t>
  </si>
  <si>
    <t>LAURA-QUISPE-FORTUNATO</t>
  </si>
  <si>
    <t>QUISPE-CAYO--LEONIDAS</t>
  </si>
  <si>
    <t>C-C-AUSARAY---SECT--CCOYAPAMPA</t>
  </si>
  <si>
    <t>TTITO-QUISPE--SATURNINO</t>
  </si>
  <si>
    <t>C-C-AUSARAY---CCATCA</t>
  </si>
  <si>
    <t>HUAMAN-QUISPE-MARCELINO</t>
  </si>
  <si>
    <t>AUSARAY-S-N-</t>
  </si>
  <si>
    <t>HUAMAN-QUISPE-ALEJANDRO</t>
  </si>
  <si>
    <t>HU040108</t>
  </si>
  <si>
    <t>HUILLCA-QUISPE--FORTUNATO</t>
  </si>
  <si>
    <t>LAHUALAHUA---OCONGATE</t>
  </si>
  <si>
    <t>PERCCA-HUISA-PABLO</t>
  </si>
  <si>
    <t>COMUNIDAD-LAWA-LAWA-OCONG</t>
  </si>
  <si>
    <t>CONDORI-PERCCA--EFRAIN</t>
  </si>
  <si>
    <t>HU040067</t>
  </si>
  <si>
    <t>QUISPE-JANCCO--TEODOCIA</t>
  </si>
  <si>
    <t>CENTRO--POBLADO-DE-TINKE</t>
  </si>
  <si>
    <t>YUPA-CONDORI--JUAN</t>
  </si>
  <si>
    <t>AV--INTEROCEANICA-TINKI-OCONGA</t>
  </si>
  <si>
    <t>HILARIO-URTADO--ZENOBIO</t>
  </si>
  <si>
    <t>AV--AUSANGATE-TINKI</t>
  </si>
  <si>
    <t>MERMA-MAMANI--GUILLERMO</t>
  </si>
  <si>
    <t>CALLE-AUSANGATE---TINKE-</t>
  </si>
  <si>
    <t>LIMA-DUE-AS-VALERIO</t>
  </si>
  <si>
    <t>AUSANGATE-S-N</t>
  </si>
  <si>
    <t>PUCUTUNI-JARA--GERTRUDIS</t>
  </si>
  <si>
    <t>C-P--TINKI</t>
  </si>
  <si>
    <t>CHILLIHUANI-CRISPIN--SEGUNDO</t>
  </si>
  <si>
    <t>CENTRO-POBLADO-TINKI</t>
  </si>
  <si>
    <t>MANDURA-YANA-ARISTIDES</t>
  </si>
  <si>
    <t>TALAVERA-DE-LA-REYNA-T-1</t>
  </si>
  <si>
    <t>QUISPE-HUAMAN-ISMAEL</t>
  </si>
  <si>
    <t>YANA-DE-MAMANI-SATURNINA</t>
  </si>
  <si>
    <t>BUENAVISTA-S-N</t>
  </si>
  <si>
    <t>YUCRA-CHILLIHUANI--JUAN-CLAVER</t>
  </si>
  <si>
    <t>AV-INTEROCEANICA---TINKE</t>
  </si>
  <si>
    <t>MAMANI-LUNA--JOSE-JUAN</t>
  </si>
  <si>
    <t>CARRETERA-INTEROCEANICA-S-N---</t>
  </si>
  <si>
    <t>CONDORI-MAYO--JUAN</t>
  </si>
  <si>
    <t>TINKI</t>
  </si>
  <si>
    <t>POSTA-SANITARIA</t>
  </si>
  <si>
    <t>TALAVERA-DE-LA-REYNA-S-N</t>
  </si>
  <si>
    <t>HUILLCA-QUISPE--RUDY</t>
  </si>
  <si>
    <t>CHILLIHUANI-HUARCAYA--FLORENTI</t>
  </si>
  <si>
    <t>AV--INTEROCEANICA-S-N---TINKI</t>
  </si>
  <si>
    <t>CONDORI-YUCRA--GRIMALDO</t>
  </si>
  <si>
    <t>PISTA-PRINCIPAL---TINKE</t>
  </si>
  <si>
    <t>CONDORI-CCAPA--LIVIO</t>
  </si>
  <si>
    <t>AV-INTEROCEANICA-MZL-LT2---TIN</t>
  </si>
  <si>
    <t>RAMOS-HUAMAN--FRANCISCO</t>
  </si>
  <si>
    <t>CENTRO-POBLADO-TINKI-</t>
  </si>
  <si>
    <t>AS--CIVIL-INTI-RAIMY</t>
  </si>
  <si>
    <t>JANCCO-CONDORI--MARIO</t>
  </si>
  <si>
    <t>AV--INTEROCENICA-F-1---TINKI--</t>
  </si>
  <si>
    <t>HU040070</t>
  </si>
  <si>
    <t>YUCRA-OSNAYO-VALENTIN</t>
  </si>
  <si>
    <t>CHECCASPAMPA-S-N</t>
  </si>
  <si>
    <t>APAZA-HUAMAN--MARIO</t>
  </si>
  <si>
    <t>C-C--CHECCASPAMPA---OCONGATE</t>
  </si>
  <si>
    <t>YUCRA-OSNAYO--LAUREANO</t>
  </si>
  <si>
    <t>COMUNIDAD-CHECASPAMPA</t>
  </si>
  <si>
    <t>HU040066</t>
  </si>
  <si>
    <t>HUAMAN-PERCCA-MARIO-</t>
  </si>
  <si>
    <t>AV-SOL-S-N---KCAURI</t>
  </si>
  <si>
    <t>QUISHUA-QUISPE-TIBURCIO</t>
  </si>
  <si>
    <t>K-AURI</t>
  </si>
  <si>
    <t>PERCCA-CRUZ-CICILIO</t>
  </si>
  <si>
    <t>PERCCA-PFCCO-JUVENAL</t>
  </si>
  <si>
    <t>GUTIERREZ-CONDORI-DAMIAN</t>
  </si>
  <si>
    <t>LAURA-P-VICTORIANO</t>
  </si>
  <si>
    <t>I-E--INTEGRADA--JMA-DE-KCAURI-</t>
  </si>
  <si>
    <t>AVENIDA--TRANSOCIANICA-S-N---K</t>
  </si>
  <si>
    <t>JAQQUEHUA-GUTIERREZ-GREGORIO</t>
  </si>
  <si>
    <t>LAURA-PERCCA--PAULA</t>
  </si>
  <si>
    <t>AV--SANTO-DOMINGO---KCAURI</t>
  </si>
  <si>
    <t>LAURA-FERNANDEZ--FLORA</t>
  </si>
  <si>
    <t>CARRETERA-INTEROCEANICA-SUR-S-</t>
  </si>
  <si>
    <t>TUNQUIPA-QUISPE-JUANA</t>
  </si>
  <si>
    <t>MU-OZ-PERCCA--JUANA</t>
  </si>
  <si>
    <t>QUISPE-HUALLPA-ELEUTERIO</t>
  </si>
  <si>
    <t>COMUNIDAD-KAURI-S-N-</t>
  </si>
  <si>
    <t>LIPE-PERCCA--YOLANDA</t>
  </si>
  <si>
    <t>AV--TACNA-S-N-----KCAURI---CCA</t>
  </si>
  <si>
    <t>CONSEJO--MENOR--KCAURI</t>
  </si>
  <si>
    <t>C-P-DE-KCAURI---CARRETERA-INTE</t>
  </si>
  <si>
    <t>AYME-KCANA-WILFREDO</t>
  </si>
  <si>
    <t>PASAJE-MIRAFLORES-KCAURI</t>
  </si>
  <si>
    <t>GUTIERREZ-PFOCCO-ISIDORA-</t>
  </si>
  <si>
    <t>CALLE-TAMBILLO-</t>
  </si>
  <si>
    <t>QQUENAYA-TUNQUIPA--HILARIO</t>
  </si>
  <si>
    <t>C-P--KCAURI---CCATCA</t>
  </si>
  <si>
    <t>CCOA-AIME-SANTOS-</t>
  </si>
  <si>
    <t>CALLE-TUPAC-AMARU-</t>
  </si>
  <si>
    <t>CAYO-JAQQUEHUA--ANGEL</t>
  </si>
  <si>
    <t>SR--DE-TAYANCANI-TINKI-CCATCA</t>
  </si>
  <si>
    <t>RAMOS-IGNE--FRANCISCA</t>
  </si>
  <si>
    <t>KAURI</t>
  </si>
  <si>
    <t>AIME-LAURA-NICOLASA</t>
  </si>
  <si>
    <t>CCOA-NINA--SUSANO</t>
  </si>
  <si>
    <t>PERCCA-CRUZ--LUCIA</t>
  </si>
  <si>
    <t>CALLE-MACHUPICCHU---KCAURI</t>
  </si>
  <si>
    <t>CCOA-NINA--TEODORO</t>
  </si>
  <si>
    <t>CALLE-FORTUNA-S-N---CP-KCAURI-</t>
  </si>
  <si>
    <t>CCOA-NINA--JOSE</t>
  </si>
  <si>
    <t>CALLE-NUEVA-FORTUNA-S-N---C-P-</t>
  </si>
  <si>
    <t>TORRES-TUNQUIPA-SILVIO</t>
  </si>
  <si>
    <t>K-AURI-S-N</t>
  </si>
  <si>
    <t>HUAMAN-CRUZ-IGIDIO</t>
  </si>
  <si>
    <t>HUANCA-TITO-JESUS</t>
  </si>
  <si>
    <t>HU040055</t>
  </si>
  <si>
    <t>MUNICIPALIDAD-DISTRITAL-DE-OCO</t>
  </si>
  <si>
    <t>COMUNIDAD-CAMPESINA-DE-CCOLCCA</t>
  </si>
  <si>
    <t>CONDORI-QUISPE-FELIX</t>
  </si>
  <si>
    <t>CCOLCA</t>
  </si>
  <si>
    <t>HUALLPA-CONDORI-JOSE-ANTONIO</t>
  </si>
  <si>
    <t>QUISPE-TURPO-FRANCISCO</t>
  </si>
  <si>
    <t>QUISPE-HUALLPA--ALEJANDRO</t>
  </si>
  <si>
    <t>COM--DE-CCOLCCA---OCONGATE</t>
  </si>
  <si>
    <t>GONZALO-QUISPE--ANGELINO</t>
  </si>
  <si>
    <t>C-C-CCOLCA---OCONGATE</t>
  </si>
  <si>
    <t>QUISPE-TURPO--FLORENTINA</t>
  </si>
  <si>
    <t>HU040056</t>
  </si>
  <si>
    <t>LUNA-HUILLCA-HILARIO</t>
  </si>
  <si>
    <t>LAURAMARCA</t>
  </si>
  <si>
    <t>CHILLIHUANI-YUCRA-AGUSTIN</t>
  </si>
  <si>
    <t>LAURAMARCA-</t>
  </si>
  <si>
    <t>LUNA-YUCRA-JUAN</t>
  </si>
  <si>
    <t>CHILLIHUANI-HUANCA-HIGIDIO</t>
  </si>
  <si>
    <t>CHILLIHUANI-ESPETEA-FLAVIO</t>
  </si>
  <si>
    <t>CONCEJO-MENOR</t>
  </si>
  <si>
    <t>COMUNIDAD-DE-LAURAMARCA</t>
  </si>
  <si>
    <t>COM--DE-LAURAMARCA</t>
  </si>
  <si>
    <t>CHILLIHUANI-HUANCA-JULIAN</t>
  </si>
  <si>
    <t>HU040068</t>
  </si>
  <si>
    <t>MUN-OCONGATE-SIST-TELV-TI</t>
  </si>
  <si>
    <t>HUANCA-MAMANI-DANIEL</t>
  </si>
  <si>
    <t>CCO-AMURO-S-N</t>
  </si>
  <si>
    <t>MAMANI--VDA-DE-TICONA-SUSANA</t>
  </si>
  <si>
    <t>HU040069</t>
  </si>
  <si>
    <t>CHILLIHUANI-CH--MARCELINA</t>
  </si>
  <si>
    <t>PINCHIMURO-S-N</t>
  </si>
  <si>
    <t>CONDORI-APAZA-MARCOS</t>
  </si>
  <si>
    <t>MANDURA-CONDORI-MARTIN</t>
  </si>
  <si>
    <t>MAMANI-HUAMAN-JACINTO</t>
  </si>
  <si>
    <t>CONDORI-MAMANI-CERIACO</t>
  </si>
  <si>
    <t>GONZALO-FLOREZ--JOSE-LUIS</t>
  </si>
  <si>
    <t>COM--DE-PINCHIMURO</t>
  </si>
  <si>
    <t>IGLESIA-MARANATA</t>
  </si>
  <si>
    <t>CONDORI-MAMANI-CELSO</t>
  </si>
  <si>
    <t>COMUNIDAD-PINCHIMURO-OCON</t>
  </si>
  <si>
    <t>HUILLCA-CUCHICARI-VALENTIN</t>
  </si>
  <si>
    <t>PINCHINMURO</t>
  </si>
  <si>
    <t>YUCRA-CONDORI-EUFRACIA</t>
  </si>
  <si>
    <t>FUENTES-CONDORI-RODOLFO</t>
  </si>
  <si>
    <t>CONDORI-QUISPE-LEONOR</t>
  </si>
  <si>
    <t>COMUNIDAD-PINCHIMURO</t>
  </si>
  <si>
    <t>QUISPE-LAYME-FROILAN</t>
  </si>
  <si>
    <t>HU040077</t>
  </si>
  <si>
    <t>QUISPE-HUAMAN--ISIDORO</t>
  </si>
  <si>
    <t>C-C--ANDAMAYO---OCONGATE</t>
  </si>
  <si>
    <t>GONZALO-YUPA--TIMOTEO</t>
  </si>
  <si>
    <t>ANDAMAYO-OCONGATE-</t>
  </si>
  <si>
    <t>MAYO-CONDORI-FELICIANO</t>
  </si>
  <si>
    <t>ANDAMAYO-OCONGATE</t>
  </si>
  <si>
    <t>QUISPE-MERMA--TOMAS</t>
  </si>
  <si>
    <t>COM--DE-ANDAMAYO---OCONGATE</t>
  </si>
  <si>
    <t>HU040051</t>
  </si>
  <si>
    <t>CUSIHUALLPA-LARICO--SAMUEL</t>
  </si>
  <si>
    <t>LOS-PINOS-S-N</t>
  </si>
  <si>
    <t>TTUPA-JANCCO--JUANA</t>
  </si>
  <si>
    <t>COM--JULLICUNCA-S-N</t>
  </si>
  <si>
    <t>TTITO-POZO--CARLOTA</t>
  </si>
  <si>
    <t>CALLE-SOL-DE-ORO--JULLICUNCA-O</t>
  </si>
  <si>
    <t>MEZA-MAMANI--NICANOR</t>
  </si>
  <si>
    <t>LAYMICHARA-JULLICUNCA-OCONGATE</t>
  </si>
  <si>
    <t>HU040106</t>
  </si>
  <si>
    <t>QUISPE-PAUCAR-CIRILO</t>
  </si>
  <si>
    <t>MAHUAYANI</t>
  </si>
  <si>
    <t>SE-OR-DE-QOYLLURRIT-Y</t>
  </si>
  <si>
    <t>SANTUARIO-SE-OR-DE-QOYLLURRIT-</t>
  </si>
  <si>
    <t>Hu04</t>
  </si>
  <si>
    <t>SANTUARIO-SE-OR-DE-QOYLLORRITT</t>
  </si>
  <si>
    <t>HUANCA-YANA-FABIAN</t>
  </si>
  <si>
    <t>QUISPE-CHOQQUE--ROSALIA</t>
  </si>
  <si>
    <t>PLAZOLETA-DE-MAHUAYANI-S-N----</t>
  </si>
  <si>
    <t>HUAMAN-PACSI-FELIPA</t>
  </si>
  <si>
    <t>I-E--SECUNDARIA--MAHUAYANI</t>
  </si>
  <si>
    <t>C-C--MAHUAYANI---OCONGATE</t>
  </si>
  <si>
    <t>HU040107</t>
  </si>
  <si>
    <t>VILLAGRA-PPACSI--FRANCISCO</t>
  </si>
  <si>
    <t>CHAUPIMAYO</t>
  </si>
  <si>
    <t>HUANCA-QUISPE-AQUILINO</t>
  </si>
  <si>
    <t>PAMPACANCHA</t>
  </si>
  <si>
    <t>HUAMAN-CRUZ-EZEQUIEL</t>
  </si>
  <si>
    <t>YUPA-HUANCA--BARTOLOME</t>
  </si>
  <si>
    <t>SECTOR-PAMPACANCHA-OCONGATE</t>
  </si>
  <si>
    <t>IGLESIA-EVANGELICA-MARANATA</t>
  </si>
  <si>
    <t>COMUNIDAD-CAMP--PUMAORCCO</t>
  </si>
  <si>
    <t>I---E----CHAUPIMAYO</t>
  </si>
  <si>
    <t>C-C-CHAUPIMAYO-S-N---OCONGATE</t>
  </si>
  <si>
    <t>HU040109</t>
  </si>
  <si>
    <t>MAMANI-GARCIA-ALIPIO</t>
  </si>
  <si>
    <t>COMUNIDAD-KUCHUHUASI-OCON</t>
  </si>
  <si>
    <t>CUTIRI-HUISA--VILMA</t>
  </si>
  <si>
    <t>HU040110</t>
  </si>
  <si>
    <t>YANA-QUISPE-TEODORO</t>
  </si>
  <si>
    <t>COM--MALLMA</t>
  </si>
  <si>
    <t>MAMANI-CHILLAHUAMANI-NARCISO</t>
  </si>
  <si>
    <t>COMUNIDAD-MALLMA-OCONGATE</t>
  </si>
  <si>
    <t>HU040102</t>
  </si>
  <si>
    <t>CONDORI-PEREZ-FLORENCIO</t>
  </si>
  <si>
    <t>COMUN--RODEANA-OCONGATE</t>
  </si>
  <si>
    <t>HU040159</t>
  </si>
  <si>
    <t>CHOQQUE-CCAHUANA--MAURO</t>
  </si>
  <si>
    <t>COM-TOTORANI-S-N</t>
  </si>
  <si>
    <t>HALANOCA-HUANCA--LEONIDAS</t>
  </si>
  <si>
    <t>CHILLIHUANI-CCALLO--GABRIEL</t>
  </si>
  <si>
    <t>HU040158</t>
  </si>
  <si>
    <t>CONDORI-MAMANI--TIBURCIO</t>
  </si>
  <si>
    <t>COM--CHUNTA-COLLO-S-N</t>
  </si>
  <si>
    <t>HUAMAN-QUISPE--VICENTE</t>
  </si>
  <si>
    <t>HU040147</t>
  </si>
  <si>
    <t>SALON-COMUNAL</t>
  </si>
  <si>
    <t>COMUNIDAD-LLULLUCHA</t>
  </si>
  <si>
    <t>HUISA-QUISPE--EPIFANIA</t>
  </si>
  <si>
    <t>C-C-LLULLUCHA-S-N</t>
  </si>
  <si>
    <t>HUAMAN-TTITO--ALBERTO</t>
  </si>
  <si>
    <t>FLORES-SULLCAPUMA--MARIANO</t>
  </si>
  <si>
    <t>LLULLUCHA---OCONGATE</t>
  </si>
  <si>
    <t>TURPO-MAMANIMEZA--INES</t>
  </si>
  <si>
    <t>GARCIA-QQUESUALLPA--MATILDE</t>
  </si>
  <si>
    <t>YAPURA-MAMANI--FLORENCIA</t>
  </si>
  <si>
    <t>C-C--LLULLUCHA-S-N</t>
  </si>
  <si>
    <t>FUENTES-FLORES--VIDAL</t>
  </si>
  <si>
    <t>CAJAMARCA-FLORES--LUCIO</t>
  </si>
  <si>
    <t>TUPAC-AMARU--C-E-50552</t>
  </si>
  <si>
    <t>COMUNIDAD-DE-HUACATINCO</t>
  </si>
  <si>
    <t>HU040151</t>
  </si>
  <si>
    <t>QQUECCANO-TTITO--GREGORIA</t>
  </si>
  <si>
    <t>QQUESUALLPA-CONDORI--REMIGIO</t>
  </si>
  <si>
    <t>LLULLUCHA-S-N---OCONGATE</t>
  </si>
  <si>
    <t>FUENTES-QUISPE--MARCELINO</t>
  </si>
  <si>
    <t>COM--DE-LLULLUCHA</t>
  </si>
  <si>
    <t>GARCIA-QQUESUHUALLPA--JOSE</t>
  </si>
  <si>
    <t>MAMANI-TAPARA--JACINTA</t>
  </si>
  <si>
    <t>HU040156</t>
  </si>
  <si>
    <t>JANCCO-CONDORI--ANISETA</t>
  </si>
  <si>
    <t>COM-PUKARUMI-BARRIO-CENTRAL</t>
  </si>
  <si>
    <t>CRISPIN-CUCHICARI--LEONIDAS</t>
  </si>
  <si>
    <t>C-C-PUKARUMI--CENTRAL-S-N---OC</t>
  </si>
  <si>
    <t>QUISPE-FLOREZ--GREGORIO</t>
  </si>
  <si>
    <t>CONDORI-QUISPE--PLACIDA</t>
  </si>
  <si>
    <t>HU040157</t>
  </si>
  <si>
    <t>QUISPE-FLORES--BALBINA</t>
  </si>
  <si>
    <t>C-C-PUCARUMI-SECTOR-CENTRAL-S-</t>
  </si>
  <si>
    <t>MERMA-CONDORI--MARIA</t>
  </si>
  <si>
    <t>PACCHANTA-BAJA</t>
  </si>
  <si>
    <t>QUISPE-MAYO--CIPRIANA</t>
  </si>
  <si>
    <t>MAMANI-YUCRA--SABINO</t>
  </si>
  <si>
    <t>CHILLIHUANI-JANCCO--VALENTINA</t>
  </si>
  <si>
    <t>QUISPE-MERMA--DOROTEA</t>
  </si>
  <si>
    <t>LARICO-PEREZ--BACILIO</t>
  </si>
  <si>
    <t>GONZALO-CONDORI--MARCELINA</t>
  </si>
  <si>
    <t>CHILLIHUANI-GONZALO--LEONIDAS</t>
  </si>
  <si>
    <t>COM-PUKARUMI-BARRIO-PANTIPATA</t>
  </si>
  <si>
    <t>MANDURA-QUISPE--FRANCISCO</t>
  </si>
  <si>
    <t>HUAMAN-CRISPIN--PAULINA</t>
  </si>
  <si>
    <t>COM--PUKARUMI-BARRIO-PANTIPATA</t>
  </si>
  <si>
    <t>FUENTES-GONZALO--SIXTO</t>
  </si>
  <si>
    <t>TURPO-QISPE--JESUS</t>
  </si>
  <si>
    <t>C-C-PUCARUMI-S-N---OCONGATE</t>
  </si>
  <si>
    <t>PERES-CHILLIHUANI--VALENTINA</t>
  </si>
  <si>
    <t>COM-PUKARUM-BARRIO-PANTIPATA</t>
  </si>
  <si>
    <t>CONDORI-HUAMAN--JAIME</t>
  </si>
  <si>
    <t>HU040154</t>
  </si>
  <si>
    <t>CONDORI-HUANCA--GERTRUDIS</t>
  </si>
  <si>
    <t>C-C-PACCHANTA-BAJA-S-N---OCONG</t>
  </si>
  <si>
    <t>MANDURA--CONDORI--AGRIPINO</t>
  </si>
  <si>
    <t>CRISPIN-CUCHICARI--MIGUEL</t>
  </si>
  <si>
    <t>COM-PUCARUMI-BARRIO-QUESPIRUMI</t>
  </si>
  <si>
    <t>MANDURA-YUPA--EULOGIA</t>
  </si>
  <si>
    <t>CHILLIHUANI-QUISPE--LAUREANO</t>
  </si>
  <si>
    <t>GONZALO-JANCCO--FROILAN-MARIO</t>
  </si>
  <si>
    <t>COMUNIDAD-PUCARUMI</t>
  </si>
  <si>
    <t>MANDURA-CONDORI--JULIO-HERNAN</t>
  </si>
  <si>
    <t>JANCCO-CONDORI--BALVINA</t>
  </si>
  <si>
    <t>MELO-YANA--MARIA-ANGELES</t>
  </si>
  <si>
    <t>COM-PUCARUMI-BARRIO-QUESPERUMI</t>
  </si>
  <si>
    <t>CHILLIHUANI-QUISPE--CECILIA</t>
  </si>
  <si>
    <t>HU040155</t>
  </si>
  <si>
    <t>MAYO-GONZALO--PABLO</t>
  </si>
  <si>
    <t>COMUNIDAD-UPIS</t>
  </si>
  <si>
    <t>MAYO-GONZALO--JUAN</t>
  </si>
  <si>
    <t>LUNA-QUISPE--WERNER</t>
  </si>
  <si>
    <t>SECTOR-CCALLCHICANCHAY-UPIS-OC</t>
  </si>
  <si>
    <t>MAYO-HUAMAN--SICTO</t>
  </si>
  <si>
    <t>CHOQQUE-MANDURA--PASCUAL</t>
  </si>
  <si>
    <t>LUNA-CHILLIHUANI--BACILIA</t>
  </si>
  <si>
    <t>SECTOR-CCALLCHINCANCHAY-UPIS-O</t>
  </si>
  <si>
    <t>CHILLIHUANI-QUISPE--CIRILO</t>
  </si>
  <si>
    <t>HUAMAN-CRISPIN--MARCOS</t>
  </si>
  <si>
    <t>CHILLIHUANI-CHILLIHUANI--FELIC</t>
  </si>
  <si>
    <t>YUCRA-HUAMAN--CIPRIANA</t>
  </si>
  <si>
    <t>MAYO-YUCRA--NOLBERTO</t>
  </si>
  <si>
    <t>SECTOR-CCALLCHANCANCHAY-UPIS-O</t>
  </si>
  <si>
    <t>MAYO-ACHAHUI--PAULO</t>
  </si>
  <si>
    <t>HUAMAN-MERMA--CELESTINO</t>
  </si>
  <si>
    <t>HUAMAN-HUANCA--FRANCISCA</t>
  </si>
  <si>
    <t>SECTOR-CCALLCHICANCAY-UPIS-OCO</t>
  </si>
  <si>
    <t>HUAMAN-HUANCA--PABLO</t>
  </si>
  <si>
    <t>HU040177</t>
  </si>
  <si>
    <t>IGLESIA-EVANGELICA-MARANATA---</t>
  </si>
  <si>
    <t>COMUNCANCHA-C-C-MARAMPAQUI-OCO</t>
  </si>
  <si>
    <t>CHILLIHUANI-CCORIMANYA--FLOREN</t>
  </si>
  <si>
    <t>QUISPE-VILLAGRA--VICTOR</t>
  </si>
  <si>
    <t>JARA-CHOQQUE--SANTUSA</t>
  </si>
  <si>
    <t>HUAMAN-MERMA--ELIAS</t>
  </si>
  <si>
    <t>COMUNCANCHA-C-C--MARAMPAQUI--O</t>
  </si>
  <si>
    <t>PPACSI-CCAHUANA--NICOLAS</t>
  </si>
  <si>
    <t>JANCCO-JARA--JESUS</t>
  </si>
  <si>
    <t>ILLA-MANDURA--ESTEBAN</t>
  </si>
  <si>
    <t>GONZALO-JARA--REY-REINALDO</t>
  </si>
  <si>
    <t>QUISPE-CHOQQUE--NOLBERTO</t>
  </si>
  <si>
    <t>HUISA-QUISPE--PABLO</t>
  </si>
  <si>
    <t>CHICHANI-C-C-MARAMPAQUI-OCONGA</t>
  </si>
  <si>
    <t>HUILLCA-CRISPIN--FRANCISCO</t>
  </si>
  <si>
    <t>QUISPE-VARGAS--DAMIAN</t>
  </si>
  <si>
    <t>HUANCA-CHILLIHUANI--FERNANDO</t>
  </si>
  <si>
    <t>MARJUPATA---C-C--SUMANA---CCAR</t>
  </si>
  <si>
    <t>HU040210</t>
  </si>
  <si>
    <t>APAZA-CRUZ--JUAN</t>
  </si>
  <si>
    <t>COMUNIDAD-CHECCASPAMPA---OCONG</t>
  </si>
  <si>
    <t>HU040178</t>
  </si>
  <si>
    <t>TTITO-QQUESEHUALLPA--LUIS</t>
  </si>
  <si>
    <t>TTITO-YUCRA--AGRIPINO</t>
  </si>
  <si>
    <t>QQUESHUALLPA-YUPANQUI--ALEJAND</t>
  </si>
  <si>
    <t>FLOREZ-SULLCAPUMA--CASIMIRO</t>
  </si>
  <si>
    <t>TTITO-YAPURA--ELISEO</t>
  </si>
  <si>
    <t>QQUESOHUALLPA-QUISPE--TIMOTEA</t>
  </si>
  <si>
    <t>LLULLUCHA----OCONGATE</t>
  </si>
  <si>
    <t>QQUESEHUALLPA-LIMACHE--VICTOR</t>
  </si>
  <si>
    <t>LLULLUCHA</t>
  </si>
  <si>
    <t>QQUESUALPA-TTITO--CLAUDIO</t>
  </si>
  <si>
    <t>HU040174</t>
  </si>
  <si>
    <t>HUANCA-QUISPE--CARLOS</t>
  </si>
  <si>
    <t>PATALACCAC---HUAYNA-AUSANGATE</t>
  </si>
  <si>
    <t>HUANCA-ESPETEA--PASCUAL</t>
  </si>
  <si>
    <t>OR</t>
  </si>
  <si>
    <t>ESPINOZA-YUPA--MARCELINO</t>
  </si>
  <si>
    <t>SECTOR-ALTA-ANDAMAYO</t>
  </si>
  <si>
    <t>HU040218</t>
  </si>
  <si>
    <t>EDUCATIVO-PATAPALLPA--CENTRO</t>
  </si>
  <si>
    <t>C--PATAPALLPA-SECTOR-CENTRAL</t>
  </si>
  <si>
    <t>Or</t>
  </si>
  <si>
    <t>HUAYNASI-MAMANI--PATRICIO</t>
  </si>
  <si>
    <t>COMUNIDAD-CULLI-SECTOR-PERHUAN</t>
  </si>
  <si>
    <t>HUAMAN-TURPO--FAUSTINO</t>
  </si>
  <si>
    <t>COMUNAL-CCOCHUPAMPA--SALON</t>
  </si>
  <si>
    <t>COMUNIDAD-CULLI-SECTOR-CCOCHUP</t>
  </si>
  <si>
    <t>HU040171</t>
  </si>
  <si>
    <t>QUISPE-JANCCO--CONSTANTINO</t>
  </si>
  <si>
    <t>CERRO-CHUMPICALLE-PACCHANTA---</t>
  </si>
  <si>
    <t>CONDORI-JARA--JULIA-NORMA</t>
  </si>
  <si>
    <t>COMUNIDAD-PACCHANTA-SECTOR-CEN</t>
  </si>
  <si>
    <t>HU040172</t>
  </si>
  <si>
    <t>YUCRA-CHILLIHUANI--EDGAR-EUSEB</t>
  </si>
  <si>
    <t>C-C-PACCHANTA--BAJA-S-N---OCON</t>
  </si>
  <si>
    <t>COMUNIDAD-PACCHANTA---AGUAS-TE</t>
  </si>
  <si>
    <t>C-C-PACCHANTA-S-N---OCONGATE</t>
  </si>
  <si>
    <t>HUAMAN-QUISPE--GUZMAN</t>
  </si>
  <si>
    <t>PACCHANTA-AGUAS-TERMALES</t>
  </si>
  <si>
    <t>ACHAHUI-GONZALO--JULIAN</t>
  </si>
  <si>
    <t>HUAMAN-MANDURA--IGNACIO</t>
  </si>
  <si>
    <t>AGUAS-TERMALES---PACCHANTA</t>
  </si>
  <si>
    <t>CONDORI-FLOREZ--ANTERO</t>
  </si>
  <si>
    <t>PACCHANTA-SECTOR-CENTRAL</t>
  </si>
  <si>
    <t>YANA-CONDORI--CEFERINO</t>
  </si>
  <si>
    <t>PACCHANTA-PARTE-CENTRAL</t>
  </si>
  <si>
    <t>MERMA-MELO--PAULINA</t>
  </si>
  <si>
    <t>MERMA-CHILLIHUANI--SERAFINA</t>
  </si>
  <si>
    <t>ANEXO-PACCHANTA---OCONGATE</t>
  </si>
  <si>
    <t>HU040175</t>
  </si>
  <si>
    <t>JARA-CRISPIN--GREGORIO</t>
  </si>
  <si>
    <t>SECTOR-CHICHUMICHINA-MARAMPAQU</t>
  </si>
  <si>
    <t>JARA-CONDORI--LUCILA</t>
  </si>
  <si>
    <t>MAMANI-CHILLIHUANI--VICENTE</t>
  </si>
  <si>
    <t>SECTOR-CHICHUMICHINA-PARAMPAQU</t>
  </si>
  <si>
    <t>CONDORI-CONDORI--ENCARNACION</t>
  </si>
  <si>
    <t>HU040176</t>
  </si>
  <si>
    <t>CONDORI-QUISPE--ISAAC</t>
  </si>
  <si>
    <t>TINKE-ANEXO-MARAMPAQUI---OCONG</t>
  </si>
  <si>
    <t>CONDORI-YANA--ALFONSO</t>
  </si>
  <si>
    <t>TINKE-ANEXO-MARAMPAQUI--OCONGA</t>
  </si>
  <si>
    <t>HU040253</t>
  </si>
  <si>
    <t>CHILLIHUANI-TURPO--FRANCISCO</t>
  </si>
  <si>
    <t>PACCHANTA---OCONGATE</t>
  </si>
  <si>
    <t>MANDURA-CONDORI--MIGUEL</t>
  </si>
  <si>
    <t>HU040250</t>
  </si>
  <si>
    <t>CHOQQUE-MANDURA--QUINTIN</t>
  </si>
  <si>
    <t>SECTOR-PALQAPAMPA-UPIS-OCONGAT</t>
  </si>
  <si>
    <t>MANDURA-CHOQUE--FERMIN</t>
  </si>
  <si>
    <t>CRISPIN-GONZALO--VICTOR</t>
  </si>
  <si>
    <t>CONDORI-LAURA--MANUEL</t>
  </si>
  <si>
    <t>QUISPE-CONDORI--JOSEFINA</t>
  </si>
  <si>
    <t>CRISPIN-FLOREZ--ESTELA</t>
  </si>
  <si>
    <t>CHOQQUE-HUANCA--LUISA</t>
  </si>
  <si>
    <t>GONZALO-HUAYLLAS--CRISTINA</t>
  </si>
  <si>
    <t>LUNA-DE-CRISPIN--MARCELINA</t>
  </si>
  <si>
    <t>SECTOR-PALQAPAMPA--UPIS-OCONGA</t>
  </si>
  <si>
    <t>MAYO-MERMA--VICTOR</t>
  </si>
  <si>
    <t>MAYO-MERMA--FRUCTUOSO</t>
  </si>
  <si>
    <t>ESPINOZA-CCAHUANA--FLORA</t>
  </si>
  <si>
    <t>HUAMAN-LARICO--HERMINIA</t>
  </si>
  <si>
    <t>TURPO-HUAMAN--REMIGIO</t>
  </si>
  <si>
    <t>SECTOR-PALQAPAMPA-UPIS--OCONGA</t>
  </si>
  <si>
    <t>CHILLIHUANI-CONDORI--MARTINA</t>
  </si>
  <si>
    <t>MANDURA-CONDORI--ANTONIO</t>
  </si>
  <si>
    <t>GONZALO-CONDORI--SISINIO</t>
  </si>
  <si>
    <t>QUISPE-CONDORI--EUSEBIA</t>
  </si>
  <si>
    <t>CHILLIHUANI-CRISPIN--VICTOR</t>
  </si>
  <si>
    <t>CONDORI-QUISPE--JUANA</t>
  </si>
  <si>
    <t>CHILLIHUANI-CHOQQUE--BEATRIZ</t>
  </si>
  <si>
    <t>MAYO-PEREZ--SEGUNDO</t>
  </si>
  <si>
    <t>CHILLIHUANI-CHILLIHUANI--BENIG</t>
  </si>
  <si>
    <t>CRISPIN-DE-CHILLIHUANI--RAMOSA</t>
  </si>
  <si>
    <t>CHILLIHUANI-GONZALO--ZENON</t>
  </si>
  <si>
    <t>CHOQQUE-MANDURA--DOMINGO</t>
  </si>
  <si>
    <t>SECTOR-PALQAPAMPA-UPIS--OCONAG</t>
  </si>
  <si>
    <t>CCHOQQUE-CHILLIHUANI--JULIANA</t>
  </si>
  <si>
    <t>MAYO-CONDORI--TERESA</t>
  </si>
  <si>
    <t>GONZALO-HUAYLLAS--MARGARITA</t>
  </si>
  <si>
    <t>GONZALO-ROJO--JAIME</t>
  </si>
  <si>
    <t>MAYO-MERMA--JUAN</t>
  </si>
  <si>
    <t>GONZALO-PEREZ--ALIPIO</t>
  </si>
  <si>
    <t>CRISPIN-GONZALO--ANACLETO</t>
  </si>
  <si>
    <t>CRISPIN-HUANCA--LEONIDAS</t>
  </si>
  <si>
    <t>GONZALO-HUANCA--ELEUTERIO</t>
  </si>
  <si>
    <t>MAYO-MERMA--CECILIO</t>
  </si>
  <si>
    <t>GONZALO-CONDORI--SANTOS</t>
  </si>
  <si>
    <t>MERMA-MAYO--BERNARDINA</t>
  </si>
  <si>
    <t>GONZALO-CHILLIHUANI--GUILLERMO</t>
  </si>
  <si>
    <t>CHILLIHUANI-CONDORI--MARIANO</t>
  </si>
  <si>
    <t>CHILLIHUANI-CHILLIHUANI--DIONI</t>
  </si>
  <si>
    <t>HUAMAN-CHILLIHUANI--BUENAVENTU</t>
  </si>
  <si>
    <t>CHILLIHUANI-CONDORI--HONORATO</t>
  </si>
  <si>
    <t>CHILLIHUANI-CHOQQUE--GRIMALDO</t>
  </si>
  <si>
    <t>GONZALES-HUAYLLAS--MARIANO</t>
  </si>
  <si>
    <t>HU040173</t>
  </si>
  <si>
    <t>CHILLIHUANI-CHILLIHUANI--GUILL</t>
  </si>
  <si>
    <t>HUAYNA-AUSANGATE---OCONGATE</t>
  </si>
  <si>
    <t>LUNA-CHILLIHUANI--GUIDO</t>
  </si>
  <si>
    <t>CHILLIHUANI-CONDORI--BASILIA</t>
  </si>
  <si>
    <t>QUISPE-YUCRA--FEDERICO-SANTOS</t>
  </si>
  <si>
    <t>NINA-TURPO--WILFREDO</t>
  </si>
  <si>
    <t>SECTOR-HUACARPI-AS---YANAMA---</t>
  </si>
  <si>
    <t>CRISPIN-CUTIPA--NIEVES</t>
  </si>
  <si>
    <t>CONDORI-YUCRA--HIPOLITO</t>
  </si>
  <si>
    <t>CONDORI-HUAMAN--GREGORIO</t>
  </si>
  <si>
    <t>ACCOCUNCA-CENTRAL---OCONGATE</t>
  </si>
  <si>
    <t>HU040297</t>
  </si>
  <si>
    <t>ROCCA-CCOLQQUE--ALEJANDRINA</t>
  </si>
  <si>
    <t>ACCOCUNCA-ALTA---OCONGATE</t>
  </si>
  <si>
    <t>MAYO-MAMANI--FELIX</t>
  </si>
  <si>
    <t>ACCOCUNCA-BAJA---OCONGATE</t>
  </si>
  <si>
    <t>HUISA-CONDORI--JORGE-GERARDO</t>
  </si>
  <si>
    <t>COMUNIDAD-PALCA---OCONGATE</t>
  </si>
  <si>
    <t>HU040215</t>
  </si>
  <si>
    <t>FUENTES-CCANAHUIRE--ANCELMO</t>
  </si>
  <si>
    <t>HUACATINCO-CENTRAL---OCONGATE</t>
  </si>
  <si>
    <t>FUENTES-APAZA--FIDEL</t>
  </si>
  <si>
    <t>YAPURA-QQUESOMUALLPA--DIONICIO</t>
  </si>
  <si>
    <t>SALON-COMUNAL---</t>
  </si>
  <si>
    <t>HU040304</t>
  </si>
  <si>
    <t>PALOMINO-GARCIA--FORTUNATO</t>
  </si>
  <si>
    <t>CCAMARA-QQASA---OCONGATE</t>
  </si>
  <si>
    <t>HU040301</t>
  </si>
  <si>
    <t>CONDORI-HUISA--MARINA</t>
  </si>
  <si>
    <t>QQUECHAPATA-BAJA---OCONGATE</t>
  </si>
  <si>
    <t>HU040303</t>
  </si>
  <si>
    <t>QUISPE-CJANAHUIRE--VICTORIANO</t>
  </si>
  <si>
    <t>BARRANCO-HUACAT---OCONGATE</t>
  </si>
  <si>
    <t>FLOREZ-CONDORI--AURELIO</t>
  </si>
  <si>
    <t>TURPO-MANDURA--VALENTINA</t>
  </si>
  <si>
    <t>MELO-YANA--NICANOR</t>
  </si>
  <si>
    <t>CRUZ-CHILLIHUANI--TOMAS</t>
  </si>
  <si>
    <t>C-C-PUCARUMI-S-N-----OCONGATE</t>
  </si>
  <si>
    <t>MAMANI-YANA--CLAUDIA</t>
  </si>
  <si>
    <t>HU040193</t>
  </si>
  <si>
    <t>CONDORI-MELO--CESAR</t>
  </si>
  <si>
    <t>COM--DE-CCASAPATA-INTIPUCLLARI</t>
  </si>
  <si>
    <t>HU040194</t>
  </si>
  <si>
    <t>CONDORI-GARCIA--LEONIDAS</t>
  </si>
  <si>
    <t>COM--DE-CCASAPATA--INTIPUCLLAR</t>
  </si>
  <si>
    <t>HU040192</t>
  </si>
  <si>
    <t>APARICIO-CHAMPI--EDGAR</t>
  </si>
  <si>
    <t>PARCIALIDAD-PARU-PARU---CCATCA</t>
  </si>
  <si>
    <t>CAPILLA-CATOLICA--PARU-PARU</t>
  </si>
  <si>
    <t>PARCIALIDAD-DE-PARU-PARU--CCAT</t>
  </si>
  <si>
    <t>TORRES-APARICIO--JUSTO-WILBERT</t>
  </si>
  <si>
    <t>CONDORI-LOPE--SOFIA</t>
  </si>
  <si>
    <t>HU040249</t>
  </si>
  <si>
    <t>MAMANI-CONDORI--TOMAS</t>
  </si>
  <si>
    <t>SECTOR-CCOYA---CCARHUAYO</t>
  </si>
  <si>
    <t>CURO-CONDORI--PRIMITIVO</t>
  </si>
  <si>
    <t>SECTOR-CCOYA-CCARHUAYO</t>
  </si>
  <si>
    <t>MAMANI-QUISPE--FERNANDO</t>
  </si>
  <si>
    <t>CONDORI-QUISPE--EZEQUIEL</t>
  </si>
  <si>
    <t>MAMANI-YUPANQUI--VALENTIN</t>
  </si>
  <si>
    <t>HU040296</t>
  </si>
  <si>
    <t>ACHAHUI-MAMANI--VIRGINIA</t>
  </si>
  <si>
    <t>COM--CJALLHUA---CARHUAYO</t>
  </si>
  <si>
    <t>MONTALVO-QUISPE--FLORENCIO</t>
  </si>
  <si>
    <t>AGUILAR-ROCCA--SANTOS</t>
  </si>
  <si>
    <t>LUNA-QUISPE--PLACIDO</t>
  </si>
  <si>
    <t>QUISPE-ULLOA--GUMERCINDO</t>
  </si>
  <si>
    <t>QUISPE-QUISPE--JUAN</t>
  </si>
  <si>
    <t>CCAHUANA-CHACON--MARTIN</t>
  </si>
  <si>
    <t>I-E---50556--CJALLHUA</t>
  </si>
  <si>
    <t>C-C---CJALLHUA---CARHUAYO</t>
  </si>
  <si>
    <t>HU040289</t>
  </si>
  <si>
    <t>VEGA-YAPURA--LUCILA</t>
  </si>
  <si>
    <t>JC-MARIATEGUI-SECTOR-I---CARHU</t>
  </si>
  <si>
    <t>QUISPE-FUENTES--JUAN-DE-DIOS</t>
  </si>
  <si>
    <t>YUCRA-BOLA-OS--TEODORO</t>
  </si>
  <si>
    <t>INSTITUCION-EDUCATIVA--JOSE-C-</t>
  </si>
  <si>
    <t>VARGAS-MAMANI--JUANA</t>
  </si>
  <si>
    <t>SECTOR-HUPAHAPA---CARHUAYO</t>
  </si>
  <si>
    <t>MAMANI-BOLA-OS--JOSE</t>
  </si>
  <si>
    <t>QUISPE-CONDORI--JUAN</t>
  </si>
  <si>
    <t>HUAYTA-CHOQQUE--FRANCISCO</t>
  </si>
  <si>
    <t>QUISPE-CONDORI--FELIPE</t>
  </si>
  <si>
    <t>C-C--LAHUANI---CARHUAYO</t>
  </si>
  <si>
    <t>CCAPA-QUISPE--BERNABE</t>
  </si>
  <si>
    <t>QUISPE--ZARATE--JESUS</t>
  </si>
  <si>
    <t>MAMANI-YUPANQUI--GABRIEL</t>
  </si>
  <si>
    <t>CCAPA-QUISPE--YGNACIO</t>
  </si>
  <si>
    <t>CONDORI-GARCIA--GERONIMO</t>
  </si>
  <si>
    <t>C--CHILLIHUANI---CARHUAYO</t>
  </si>
  <si>
    <t>ARONI-GARCIA--ROBERTO</t>
  </si>
  <si>
    <t>HU040294</t>
  </si>
  <si>
    <t>MAMANI-SALGADO--MARTINA</t>
  </si>
  <si>
    <t>CHUCLLUHUIRI---CARHUAYO</t>
  </si>
  <si>
    <t>HU040219</t>
  </si>
  <si>
    <t>ZARATE-CONDORI--CORNELIO</t>
  </si>
  <si>
    <t>COM--ANCCASI---CARHUAYO</t>
  </si>
  <si>
    <t>CCAPA-CCASA--BERNARDINA</t>
  </si>
  <si>
    <t>MACHACCA-MAMANI--ANDRES</t>
  </si>
  <si>
    <t>CUEVAS-MAMANI--EDUARDO</t>
  </si>
  <si>
    <t>MAMANI-CCAPA--AGUSTIN</t>
  </si>
  <si>
    <t>PALOMINO-SUCLLI--GERMAN</t>
  </si>
  <si>
    <t>CCAHUANA-CCASA--FREDI</t>
  </si>
  <si>
    <t>HUAYTA-CONDORI--CLEMENTE</t>
  </si>
  <si>
    <t>SUCLLI-DE-PALOMINO--MARCOSA</t>
  </si>
  <si>
    <t>RAMOS-YUCRA--SIXTO</t>
  </si>
  <si>
    <t>ACCROTA-MAMANI--UBALDINO</t>
  </si>
  <si>
    <t>ARONE-GARCIA--RICARDINA</t>
  </si>
  <si>
    <t>POSTA-COMUNAL--ANCCASI</t>
  </si>
  <si>
    <t>ANCCASI---CCARHUAYO</t>
  </si>
  <si>
    <t>LOCAL--MUNICIPAL--ANCCASI</t>
  </si>
  <si>
    <t>COMEDOR-POPULAR--ANCCASI</t>
  </si>
  <si>
    <t>HU040293</t>
  </si>
  <si>
    <t>QUISPE-MAMANI--ADRIANA</t>
  </si>
  <si>
    <t>COM--HACHACALLA---CARHUAYO</t>
  </si>
  <si>
    <t>MAMANI-CCAPA--SERGIO</t>
  </si>
  <si>
    <t>MAMANI-QUISPE--VICTORIA</t>
  </si>
  <si>
    <t>QUISPE-LUNA--FRACISCO</t>
  </si>
  <si>
    <t>HUAMAN-MAMANI--PAULINO</t>
  </si>
  <si>
    <t>AYRAPUMA-QUISPE--POLICARPO</t>
  </si>
  <si>
    <t>QUIJHUA-TURPO--EMILIANO</t>
  </si>
  <si>
    <t>MAMANI-QUISPE--SABINA</t>
  </si>
  <si>
    <t>CCAPA-CONDORI--ISAIAS</t>
  </si>
  <si>
    <t>ZARATE-HUAMAN--EDWIN</t>
  </si>
  <si>
    <t>HUAMAN-CRISPIN--LAURIANO</t>
  </si>
  <si>
    <t>HU020014</t>
  </si>
  <si>
    <t>MORA-VALENCIA-L-</t>
  </si>
  <si>
    <t>SALAS--SANTUSA</t>
  </si>
  <si>
    <t>CALLE-ESCOBAR-328</t>
  </si>
  <si>
    <t>SALAS-VILLA--SABINO</t>
  </si>
  <si>
    <t>CALLE-ESCOBAR-329---HUARO</t>
  </si>
  <si>
    <t>HU020015</t>
  </si>
  <si>
    <t>MAINA-DE-CCORIMANYA-MARIA-N-</t>
  </si>
  <si>
    <t>CALLE-ESCOBAR-333</t>
  </si>
  <si>
    <t>CONSEJO-DIST--HUARO</t>
  </si>
  <si>
    <t>CALLE-BOLIVAR-S-N</t>
  </si>
  <si>
    <t>VIZCARRA-EGUILETA-CARLOTA</t>
  </si>
  <si>
    <t>HU020217</t>
  </si>
  <si>
    <t>CCORIMANYA--ROSARIO</t>
  </si>
  <si>
    <t>CALLE-OLIART-305</t>
  </si>
  <si>
    <t>AUCCAHUAQUI-LOPEZ-ALEJANDRINA</t>
  </si>
  <si>
    <t>MIGUEL-GRAU-379</t>
  </si>
  <si>
    <t>AUCCAPURI--GREGORIA</t>
  </si>
  <si>
    <t>CALLE-BARRIONUEVO-S-N</t>
  </si>
  <si>
    <t>BERNAOLA-FUENTES--YESSICA</t>
  </si>
  <si>
    <t>CALLE-BARRIONUEVO-S-N---HUARO</t>
  </si>
  <si>
    <t>ARIAS--JULIO</t>
  </si>
  <si>
    <t>JR--BOLOGNESI-S-N</t>
  </si>
  <si>
    <t>AUCCAPI-A-HUARCAYA-DE-SALGADO-</t>
  </si>
  <si>
    <t>DESAMPARADOS-S-N--HUARO</t>
  </si>
  <si>
    <t>HU010088</t>
  </si>
  <si>
    <t>YUPANQUI-HUAMAN--FRANCISCA</t>
  </si>
  <si>
    <t>ASOSIACION-BELLAVISTA-S-N---HU</t>
  </si>
  <si>
    <t>I-E--INICIAL--BELLAVISTA</t>
  </si>
  <si>
    <t>BELLAVISTA-SEGUNDA-ETAPA-S-N--</t>
  </si>
  <si>
    <t>PARI-SOTO--VILMA</t>
  </si>
  <si>
    <t>APV-VIRGEN-PURIFICADA-DE-CANIN</t>
  </si>
  <si>
    <t>PERCCA-LOCUMBER--JOSEFINO</t>
  </si>
  <si>
    <t>ASOC--VIRGEN-PURIFICADA-DE-CAN</t>
  </si>
  <si>
    <t>HUAMAN-HUARCAYA-TORIBIO</t>
  </si>
  <si>
    <t>ADV-VIRGEN-PURIFICADA</t>
  </si>
  <si>
    <t>HU030016</t>
  </si>
  <si>
    <t>ORTEGA-A--MIGUEL</t>
  </si>
  <si>
    <t>URPAY-S-N</t>
  </si>
  <si>
    <t>HU030017</t>
  </si>
  <si>
    <t>BARRIGA-CABALLERO--ROSA-MARIA</t>
  </si>
  <si>
    <t>COMUNIDAD-URPAY---HUARO</t>
  </si>
  <si>
    <t>MANUFACTURAS-TEXTILES-VICENTA-</t>
  </si>
  <si>
    <t>HU030090</t>
  </si>
  <si>
    <t>DELGADO-HUILLCAHUAMAN--GENARO</t>
  </si>
  <si>
    <t>CALLE-ERAPATA-S-N---PUCUTO</t>
  </si>
  <si>
    <t>IBARRA-ORDO-ES-CELIA</t>
  </si>
  <si>
    <t>COM-PUCUTO</t>
  </si>
  <si>
    <t>JUNIOR-GAS-E-I-R-LTDA-</t>
  </si>
  <si>
    <t>FUNDO-ESPERANZA---GRIFO</t>
  </si>
  <si>
    <t>HU030279</t>
  </si>
  <si>
    <t>FLORES-CCORIMANYA--FELICITAS</t>
  </si>
  <si>
    <t>COMUNIDAD-PHINAY---HUARO</t>
  </si>
  <si>
    <t>HU030275</t>
  </si>
  <si>
    <t>IE-I-E-N--50510---DE-ARAHUARA</t>
  </si>
  <si>
    <t>C-C--ARAHUARA---HUARO</t>
  </si>
  <si>
    <t>YUCA-CCORIMANYA--GREGORIA</t>
  </si>
  <si>
    <t>COMUNIDAD-ARAHUARA---RITTEC</t>
  </si>
  <si>
    <t>HU030091</t>
  </si>
  <si>
    <t>CHALCO-PFUNO-MARIO</t>
  </si>
  <si>
    <t>WIRACOCHAN</t>
  </si>
  <si>
    <t>ROMERO-CHIHUANTITTO-NARCISA</t>
  </si>
  <si>
    <t>CHAVEZ-CHIHUANTTITO-HIGIDIA</t>
  </si>
  <si>
    <t>GAMBOA-VIUDA-DE-UGARTE--GUILLE</t>
  </si>
  <si>
    <t>CHAVEZ-CHIHUANTITO--HIGIDIA</t>
  </si>
  <si>
    <t>CCOYLLORCCUCHO-MZ-B-6--CCACHAB</t>
  </si>
  <si>
    <t>CHALLCO-CCACYAMARCA--PABLO</t>
  </si>
  <si>
    <t>CCOYLLORCCUCHO-MZ-C-2--CCACHAB</t>
  </si>
  <si>
    <t>HU030167</t>
  </si>
  <si>
    <t>CHOQUE-MACHACA--NESTOR</t>
  </si>
  <si>
    <t>CCACHABAMBA-ANDAHUAYLILLAS</t>
  </si>
  <si>
    <t>OR010022</t>
  </si>
  <si>
    <t>HUARSAYA--JUANA</t>
  </si>
  <si>
    <t>PERU-S-N</t>
  </si>
  <si>
    <t>MORA-HUAMAN--TIMOTEO</t>
  </si>
  <si>
    <t>CALLE-GRAU-S-N---OROPESA</t>
  </si>
  <si>
    <t>SALAZAR-HERRERA-EVANGELINA</t>
  </si>
  <si>
    <t>CALLE-PUNO-S-N</t>
  </si>
  <si>
    <t>PAREDES-MACEDO--PILAR</t>
  </si>
  <si>
    <t>PRIMAVERA-S-N</t>
  </si>
  <si>
    <t>GARCIA-DAVALOS--ARMANDO</t>
  </si>
  <si>
    <t>AV-PRIMAVERA-N--626---OROPESA</t>
  </si>
  <si>
    <t>SANTOS-DE-BLANCO--GLORIA</t>
  </si>
  <si>
    <t>AV-PRIMAVERA-634-A-1</t>
  </si>
  <si>
    <t>VALCARCEL-DE-VARGAS-EUSTAQUIA</t>
  </si>
  <si>
    <t>AV-PRIMAVERA-S-N-OROPEZA-</t>
  </si>
  <si>
    <t>JURADO-GARCIA-CRISTOBAL</t>
  </si>
  <si>
    <t>CALLE-COLON-NRO--17</t>
  </si>
  <si>
    <t>VELASQUEZ-R--DAMIAN</t>
  </si>
  <si>
    <t>COLON-S-N</t>
  </si>
  <si>
    <t>SEGURA-SERRANO-DELIA</t>
  </si>
  <si>
    <t>HUANCA-CARRASCO--GRACIANO</t>
  </si>
  <si>
    <t>SECTOR-CANTERAYOC---OROPESA</t>
  </si>
  <si>
    <t>CASTRO-QUISPE-MODESTO-</t>
  </si>
  <si>
    <t>PIZARRO-S-N-</t>
  </si>
  <si>
    <t>ANAYA-SALINAS-AUGUSTO</t>
  </si>
  <si>
    <t>CALLE-CALVARIO-S-N</t>
  </si>
  <si>
    <t>OR010021</t>
  </si>
  <si>
    <t>YANEZ-VDA-DE-H--BALVINA</t>
  </si>
  <si>
    <t>ESTRELLA-S-N</t>
  </si>
  <si>
    <t>QUISPE-VARGAS-JOSE</t>
  </si>
  <si>
    <t>CALLE-ESTRELLA-S-N-OROPEZ</t>
  </si>
  <si>
    <t>QUINTO-PUMA-GUADALUP</t>
  </si>
  <si>
    <t>CALLE-ESTRELLA-218</t>
  </si>
  <si>
    <t>ROJAS-CHOQUE-PIO</t>
  </si>
  <si>
    <t>ESTRELLA-212</t>
  </si>
  <si>
    <t>QUISPE-ORTEGA-NAVIDAD</t>
  </si>
  <si>
    <t>CALLE-UNIVERSIDAD-S-N</t>
  </si>
  <si>
    <t>PHUNO-H-PASCUALA</t>
  </si>
  <si>
    <t>UNIVERSIDAD-S-N</t>
  </si>
  <si>
    <t>LAIME-CHAVEZ-VICTOR</t>
  </si>
  <si>
    <t>SALAVERRY---S-N</t>
  </si>
  <si>
    <t>POLO--APOLINAR</t>
  </si>
  <si>
    <t>BOLOGNESI-S-N</t>
  </si>
  <si>
    <t>OR020135</t>
  </si>
  <si>
    <t>JUSKA-CARRASCO--BEATRIZ</t>
  </si>
  <si>
    <t>AV-PRIMAVERA-S-N---OROPESA</t>
  </si>
  <si>
    <t>ALHUARCA-CHACCALLA--ALEJA-ANIT</t>
  </si>
  <si>
    <t>APV--JOSE-CARLOS-MARIATEGUI-C-</t>
  </si>
  <si>
    <t>PONCE-DE-LEON--HUAMAN-BERNARDI</t>
  </si>
  <si>
    <t>A-P-V-JOSE-CARLOS-MARIATEGUI--</t>
  </si>
  <si>
    <t>BOLIVAR-MACUELLO--NOHEMI</t>
  </si>
  <si>
    <t>PUNABAMBA-N--E-10---OROPESA</t>
  </si>
  <si>
    <t>OR030130</t>
  </si>
  <si>
    <t>JORDAN-CERDA--ALCIDES</t>
  </si>
  <si>
    <t>CHI-ICCARA-BAJA--OROPESA</t>
  </si>
  <si>
    <t>OR030132</t>
  </si>
  <si>
    <t>HUALLPA-CHUNGA-JULIO</t>
  </si>
  <si>
    <t>SECTOR-CCAMICANCHA-OROPES</t>
  </si>
  <si>
    <t>INMELVA-S-A-</t>
  </si>
  <si>
    <t>CARRET-CUSCO-SICUANI-KM19</t>
  </si>
  <si>
    <t>OR020345</t>
  </si>
  <si>
    <t>HERRERA-SANTOS-VDA-DE-SANTA-CR</t>
  </si>
  <si>
    <t>APV-JOSE-CARLOS-MARIATEGUI---O</t>
  </si>
  <si>
    <t>VALCARCEL-HUANCA--WALTER</t>
  </si>
  <si>
    <t>A-P-V-JOSE-CARLOS-MAREATEGUI-O</t>
  </si>
  <si>
    <t>QUISPE-SINCHON-SIMEON</t>
  </si>
  <si>
    <t>APV--JOSE-C--MARIATEGUI</t>
  </si>
  <si>
    <t>AMAO-CHAMPI--ARMANDO</t>
  </si>
  <si>
    <t>APV--OSE-CARLOS-MARIATEGUI--F-</t>
  </si>
  <si>
    <t>OR020344</t>
  </si>
  <si>
    <t>SULLCAPUMA-QQUECCA-O--APOLINAR</t>
  </si>
  <si>
    <t>APV-JOSE-CARLOS-MARIATEGUI--C-</t>
  </si>
  <si>
    <t>OR020028</t>
  </si>
  <si>
    <t>CAMPO--DE-DEPORTIVO--CHOQUEPAT</t>
  </si>
  <si>
    <t>ENTRADA-CHOQUEPATA---OROPESA</t>
  </si>
  <si>
    <t>OR030023</t>
  </si>
  <si>
    <t>BACA-RIOS--JUSTINO</t>
  </si>
  <si>
    <t>CHOQUEPATA-S-N</t>
  </si>
  <si>
    <t>HERRERA-FERNANDEZ-MAURO</t>
  </si>
  <si>
    <t>QUISPE-BACA--DANIEL</t>
  </si>
  <si>
    <t>CCURO-HUAMAN-AGUSTIN</t>
  </si>
  <si>
    <t>CHOQUEPATA-S-N-</t>
  </si>
  <si>
    <t>PANIURA-SORIA--JULIO</t>
  </si>
  <si>
    <t>QUILLINSAPAMPA-COMUNIDAD-CHOQU</t>
  </si>
  <si>
    <t>SALON-COMUNAL--CHOQUEPATA</t>
  </si>
  <si>
    <t>C-C--CHOQUEPATA</t>
  </si>
  <si>
    <t>ANAYA-YABAR-JORGE-RAMIRO</t>
  </si>
  <si>
    <t>COM-CAMP-CHOQUEPATA-S-N-</t>
  </si>
  <si>
    <t>OR030083</t>
  </si>
  <si>
    <t>PRODUCCION-Y-MANTENIMIENTO-DEL</t>
  </si>
  <si>
    <t>C-C-CHOQUEPATA-S-N---OROPESA</t>
  </si>
  <si>
    <t>OR030084</t>
  </si>
  <si>
    <t>BOMBILLA-VALLADARES--AVELI</t>
  </si>
  <si>
    <t>A-P-V--TIPON-L-4</t>
  </si>
  <si>
    <t>HUAMAN-QUISPE-LEONARDO</t>
  </si>
  <si>
    <t>A-P-V--TIPON-V-3</t>
  </si>
  <si>
    <t>RODRIGUEZ-TURPO--BENITA</t>
  </si>
  <si>
    <t>APV--TIPON---10</t>
  </si>
  <si>
    <t>BACA-QUISPE--BENITO</t>
  </si>
  <si>
    <t>A-P-V--TIPON-N-6</t>
  </si>
  <si>
    <t>LEGUIA-PEREZ--ELVIS-MARIO-</t>
  </si>
  <si>
    <t>C-C--CHOQUEPATA-S-N-TIPON</t>
  </si>
  <si>
    <t>CHAMORRO-FERNANDEZ--JULIO</t>
  </si>
  <si>
    <t>A-P-V--TIPON-G-9</t>
  </si>
  <si>
    <t>COLQUE-HANCCO--FORTUNATA</t>
  </si>
  <si>
    <t>APV--TIPON---8</t>
  </si>
  <si>
    <t>OR030024</t>
  </si>
  <si>
    <t>GARMENDIA-ZAVALETA-SOCORRO</t>
  </si>
  <si>
    <t>POBLADO-MENOR-DE-HUASAO</t>
  </si>
  <si>
    <t>OR030025</t>
  </si>
  <si>
    <t>GAMBOA-HUAMAN-IRMA</t>
  </si>
  <si>
    <t>JUAN-VELASCO-S-N-HUASAO</t>
  </si>
  <si>
    <t>QUISPE-DE-PILLCO--MARIA-DOLORE</t>
  </si>
  <si>
    <t>AV-PACHATUSAN--D-8---HUASAO</t>
  </si>
  <si>
    <t>DEZA-TTITO-NARCISO</t>
  </si>
  <si>
    <t>AV-TUPAC-AMARU-HUASAO-</t>
  </si>
  <si>
    <t>GARCIA-DEZA--MARIANO</t>
  </si>
  <si>
    <t>CALLE-PRINCIPAL</t>
  </si>
  <si>
    <t>HUAMAN-CONDORI--CIRILO</t>
  </si>
  <si>
    <t>ESQUIVEL-DELGADO-DE-UNWIN--ROS</t>
  </si>
  <si>
    <t>A-P-V-NUEVO-HUASAO-AYB--X-2</t>
  </si>
  <si>
    <t>APAFA-INST-EDUC-N--50500-HUASA</t>
  </si>
  <si>
    <t>CHINGO-CHICO-HUASAO</t>
  </si>
  <si>
    <t>HUARACHA-JARANDILLA-DE-SOLAR--</t>
  </si>
  <si>
    <t>AV-JUAN-V-ALVARADO-HUASAO</t>
  </si>
  <si>
    <t>-I-E-N--50500---SAN-MARTIN-DE-</t>
  </si>
  <si>
    <t>HUASAO-S-N----OROPESA</t>
  </si>
  <si>
    <t>MORANTE-SOLIS--EDWARLI</t>
  </si>
  <si>
    <t>COMUNIDAD-HUASAO-C-14</t>
  </si>
  <si>
    <t>ZAPATA-CONDORI--MARITZA</t>
  </si>
  <si>
    <t>CALLE-PACHATUSAN-S-N---HUASAO-</t>
  </si>
  <si>
    <t>DUE-AS-CCORI--VALERIO</t>
  </si>
  <si>
    <t>CALLE-MANUEL-PINTA----NUEVO-HU</t>
  </si>
  <si>
    <t>OR030097</t>
  </si>
  <si>
    <t>QUISPE-MAMANI--SATURNINA</t>
  </si>
  <si>
    <t>CHURUPUCYU-NUEVO-HUASAO</t>
  </si>
  <si>
    <t>LUCRE</t>
  </si>
  <si>
    <t>QUISPE-GARCIA--ROBERTO</t>
  </si>
  <si>
    <t>CALLE-LIMA-S-N---LUCRE</t>
  </si>
  <si>
    <t>QUISPE-SULLCA--FORTUNATO</t>
  </si>
  <si>
    <t>CALLE-LIMA-S-N</t>
  </si>
  <si>
    <t>OR020029</t>
  </si>
  <si>
    <t>CARLOS-P--FORTUNATA</t>
  </si>
  <si>
    <t>CUSCO-S-N</t>
  </si>
  <si>
    <t>DE-LA-CUBA-ARAGON-JAQUELIN</t>
  </si>
  <si>
    <t>COLQUEHUANCA-HA-ARI--GERMAN</t>
  </si>
  <si>
    <t>CALLE-ALIANZA-S-N</t>
  </si>
  <si>
    <t>OR020030</t>
  </si>
  <si>
    <t>CALLA-YANQUI--MANUEL</t>
  </si>
  <si>
    <t>YANAMACHI-S-N--LUCRE-</t>
  </si>
  <si>
    <t>MOZO-HUACCACHI--PRIMITIVA</t>
  </si>
  <si>
    <t>YANAMANCHI-LUCRE</t>
  </si>
  <si>
    <t>QUISPE-MORMONTOY--ANGEL</t>
  </si>
  <si>
    <t>MOLINO-MOCCO--LUCRE-</t>
  </si>
  <si>
    <t>OR020080</t>
  </si>
  <si>
    <t>ASOCIACION-DE--VIVIENDA---MANS</t>
  </si>
  <si>
    <t>CALLE-21-DE-ENERO--S-N---LUCRE</t>
  </si>
  <si>
    <t>HUAYLLA-QUISPE--OSCAR--ALFREDO</t>
  </si>
  <si>
    <t>MANZANAYOC--C-3</t>
  </si>
  <si>
    <t>OR020031</t>
  </si>
  <si>
    <t>APARICIO-GAMARRA-JUSTO-ROMAN</t>
  </si>
  <si>
    <t>CALLE-PRINCIPAL-S-N</t>
  </si>
  <si>
    <t>ARREDONDO-GARCIA--ER</t>
  </si>
  <si>
    <t>HUACARPAY-S-N</t>
  </si>
  <si>
    <t>MENDOZA-GAMARRA--ZENAYDA</t>
  </si>
  <si>
    <t>QUISPE-MAMANI--ASUNCION-SIRENA</t>
  </si>
  <si>
    <t>CEN--POBLADO-HUACARPAY</t>
  </si>
  <si>
    <t>VALENCIA-B--FELICIA</t>
  </si>
  <si>
    <t>HUACARPAY-S-N-</t>
  </si>
  <si>
    <t>OR02</t>
  </si>
  <si>
    <t>PINTO-PAZOS--ROSELL</t>
  </si>
  <si>
    <t>PUMAORCCO-S-N---CARRETERA-A-LU</t>
  </si>
  <si>
    <t>OR020085</t>
  </si>
  <si>
    <t>MAMANI-QQUENAYA--IRMA</t>
  </si>
  <si>
    <t>HUAYLLARPAMPA-S-N</t>
  </si>
  <si>
    <t>HUAYLLAS-QQUENAYA--LUCIO</t>
  </si>
  <si>
    <t>ANEXO--HUAYLLARPAMPA--S-N</t>
  </si>
  <si>
    <t>PACHACUTEC-UTURUNCO--JULIANA</t>
  </si>
  <si>
    <t>HUAYLLARPAMPA---LUCRE</t>
  </si>
  <si>
    <t>HUAYLLAS-QUENAYA-LUCIO</t>
  </si>
  <si>
    <t>HUAYLLARPAMPA-LUCRE-</t>
  </si>
  <si>
    <t>RAMOS-MAMANI-JULIO</t>
  </si>
  <si>
    <t>YUPANQUI-PUMA-CIRILO-</t>
  </si>
  <si>
    <t>MANSILLA-TARAPA--TULIO</t>
  </si>
  <si>
    <t>CRUZ-ALATA-JUAN-DE-DIOS</t>
  </si>
  <si>
    <t>ARMUTO-MAMANI--ROFINO</t>
  </si>
  <si>
    <t>OR020033</t>
  </si>
  <si>
    <t>QUISPE-DE-MOLTALVO--ANGELICA</t>
  </si>
  <si>
    <t>HUAMBUTIO-LT-2-MZ-A---LUCRE</t>
  </si>
  <si>
    <t>FERNANDEZ-CCAYRA-JAIME</t>
  </si>
  <si>
    <t>SECTOR-SAN-JORGE-HUAMBUTI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</si>
</sst>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8"/>
  <sheetViews>
    <sheetView tabSelected="1" workbookViewId="0"/>
  </sheetViews>
  <sheetFormatPr baseColWidth="10" defaultRowHeight="15" x14ac:dyDescent="0.25"/>
  <cols>
    <col min="2" max="2" width="16.14062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17</v>
      </c>
      <c r="B2" s="1">
        <v>41718</v>
      </c>
      <c r="C2" t="s">
        <v>18</v>
      </c>
      <c r="D2" t="str">
        <f>CONCATENATE("0060013564","")</f>
        <v>0060013564</v>
      </c>
      <c r="E2" t="str">
        <f>CONCATENATE("0010801000200       ","")</f>
        <v xml:space="preserve">0010801000200       </v>
      </c>
      <c r="F2" t="str">
        <f>CONCATENATE("789990","")</f>
        <v>789990</v>
      </c>
      <c r="G2" t="s">
        <v>19</v>
      </c>
      <c r="H2" t="s">
        <v>20</v>
      </c>
      <c r="I2" t="s">
        <v>21</v>
      </c>
      <c r="J2" t="str">
        <f t="shared" ref="J2:J13" si="0">CONCATENATE("080107","")</f>
        <v>080107</v>
      </c>
      <c r="K2" t="s">
        <v>22</v>
      </c>
      <c r="L2" t="s">
        <v>23</v>
      </c>
      <c r="M2" t="str">
        <f>CONCATENATE("1","")</f>
        <v>1</v>
      </c>
      <c r="O2" t="str">
        <f t="shared" ref="O2:O13" si="1">CONCATENATE("1 ","")</f>
        <v xml:space="preserve">1 </v>
      </c>
      <c r="P2">
        <v>55.45</v>
      </c>
      <c r="Q2" t="s">
        <v>24</v>
      </c>
    </row>
    <row r="3" spans="1:17" x14ac:dyDescent="0.25">
      <c r="A3" t="s">
        <v>17</v>
      </c>
      <c r="B3" s="1">
        <v>41718</v>
      </c>
      <c r="C3" t="s">
        <v>18</v>
      </c>
      <c r="D3" t="str">
        <f>CONCATENATE("0060000012","")</f>
        <v>0060000012</v>
      </c>
      <c r="E3" t="str">
        <f>CONCATENATE("0010801000395       ","")</f>
        <v xml:space="preserve">0010801000395       </v>
      </c>
      <c r="F3" t="str">
        <f>CONCATENATE("507029089","")</f>
        <v>507029089</v>
      </c>
      <c r="G3" t="s">
        <v>25</v>
      </c>
      <c r="H3" t="s">
        <v>26</v>
      </c>
      <c r="I3" t="s">
        <v>27</v>
      </c>
      <c r="J3" t="str">
        <f t="shared" si="0"/>
        <v>080107</v>
      </c>
      <c r="K3" t="s">
        <v>22</v>
      </c>
      <c r="L3" t="s">
        <v>23</v>
      </c>
      <c r="M3" t="str">
        <f>CONCATENATE("3","")</f>
        <v>3</v>
      </c>
      <c r="O3" t="str">
        <f t="shared" si="1"/>
        <v xml:space="preserve">1 </v>
      </c>
      <c r="P3">
        <v>325.55</v>
      </c>
      <c r="Q3" t="s">
        <v>28</v>
      </c>
    </row>
    <row r="4" spans="1:17" x14ac:dyDescent="0.25">
      <c r="A4" t="s">
        <v>17</v>
      </c>
      <c r="B4" s="1">
        <v>41718</v>
      </c>
      <c r="C4" t="s">
        <v>18</v>
      </c>
      <c r="D4" t="str">
        <f>CONCATENATE("0060014228","")</f>
        <v>0060014228</v>
      </c>
      <c r="E4" t="str">
        <f>CONCATENATE("0010801000409       ","")</f>
        <v xml:space="preserve">0010801000409       </v>
      </c>
      <c r="F4" t="str">
        <f>CONCATENATE("605748217","")</f>
        <v>605748217</v>
      </c>
      <c r="G4" t="s">
        <v>19</v>
      </c>
      <c r="H4" t="s">
        <v>29</v>
      </c>
      <c r="I4" t="s">
        <v>30</v>
      </c>
      <c r="J4" t="str">
        <f t="shared" si="0"/>
        <v>080107</v>
      </c>
      <c r="K4" t="s">
        <v>22</v>
      </c>
      <c r="L4" t="s">
        <v>23</v>
      </c>
      <c r="M4" t="str">
        <f t="shared" ref="M4:M13" si="2">CONCATENATE("1","")</f>
        <v>1</v>
      </c>
      <c r="O4" t="str">
        <f t="shared" si="1"/>
        <v xml:space="preserve">1 </v>
      </c>
      <c r="P4">
        <v>210.6</v>
      </c>
      <c r="Q4" t="s">
        <v>24</v>
      </c>
    </row>
    <row r="5" spans="1:17" x14ac:dyDescent="0.25">
      <c r="A5" t="s">
        <v>17</v>
      </c>
      <c r="B5" s="1">
        <v>41718</v>
      </c>
      <c r="C5" t="s">
        <v>18</v>
      </c>
      <c r="D5" t="str">
        <f>CONCATENATE("0060000086","")</f>
        <v>0060000086</v>
      </c>
      <c r="E5" t="str">
        <f>CONCATENATE("0010801001270       ","")</f>
        <v xml:space="preserve">0010801001270       </v>
      </c>
      <c r="F5" t="str">
        <f>CONCATENATE("605293380","")</f>
        <v>605293380</v>
      </c>
      <c r="G5" t="s">
        <v>19</v>
      </c>
      <c r="H5" t="s">
        <v>31</v>
      </c>
      <c r="I5" t="s">
        <v>32</v>
      </c>
      <c r="J5" t="str">
        <f t="shared" si="0"/>
        <v>080107</v>
      </c>
      <c r="K5" t="s">
        <v>22</v>
      </c>
      <c r="L5" t="s">
        <v>23</v>
      </c>
      <c r="M5" t="str">
        <f t="shared" si="2"/>
        <v>1</v>
      </c>
      <c r="O5" t="str">
        <f t="shared" si="1"/>
        <v xml:space="preserve">1 </v>
      </c>
      <c r="P5">
        <v>157.44999999999999</v>
      </c>
      <c r="Q5" t="s">
        <v>24</v>
      </c>
    </row>
    <row r="6" spans="1:17" x14ac:dyDescent="0.25">
      <c r="A6" t="s">
        <v>17</v>
      </c>
      <c r="B6" s="1">
        <v>41718</v>
      </c>
      <c r="C6" t="s">
        <v>18</v>
      </c>
      <c r="D6" t="str">
        <f>CONCATENATE("0060000101","")</f>
        <v>0060000101</v>
      </c>
      <c r="E6" t="str">
        <f>CONCATENATE("0010801001600       ","")</f>
        <v xml:space="preserve">0010801001600       </v>
      </c>
      <c r="F6" t="str">
        <f>CONCATENATE("1079990","")</f>
        <v>1079990</v>
      </c>
      <c r="G6" t="s">
        <v>19</v>
      </c>
      <c r="H6" t="s">
        <v>33</v>
      </c>
      <c r="I6" t="s">
        <v>34</v>
      </c>
      <c r="J6" t="str">
        <f t="shared" si="0"/>
        <v>080107</v>
      </c>
      <c r="K6" t="s">
        <v>22</v>
      </c>
      <c r="L6" t="s">
        <v>23</v>
      </c>
      <c r="M6" t="str">
        <f t="shared" si="2"/>
        <v>1</v>
      </c>
      <c r="O6" t="str">
        <f t="shared" si="1"/>
        <v xml:space="preserve">1 </v>
      </c>
      <c r="P6">
        <v>13.95</v>
      </c>
      <c r="Q6" t="s">
        <v>24</v>
      </c>
    </row>
    <row r="7" spans="1:17" x14ac:dyDescent="0.25">
      <c r="A7" t="s">
        <v>17</v>
      </c>
      <c r="B7" s="1">
        <v>41718</v>
      </c>
      <c r="C7" t="s">
        <v>18</v>
      </c>
      <c r="D7" t="str">
        <f>CONCATENATE("0060000105","")</f>
        <v>0060000105</v>
      </c>
      <c r="E7" t="str">
        <f>CONCATENATE("0010801001640       ","")</f>
        <v xml:space="preserve">0010801001640       </v>
      </c>
      <c r="F7" t="str">
        <f>CONCATENATE("605293384","")</f>
        <v>605293384</v>
      </c>
      <c r="G7" t="s">
        <v>19</v>
      </c>
      <c r="H7" t="s">
        <v>35</v>
      </c>
      <c r="I7" t="s">
        <v>36</v>
      </c>
      <c r="J7" t="str">
        <f t="shared" si="0"/>
        <v>080107</v>
      </c>
      <c r="K7" t="s">
        <v>22</v>
      </c>
      <c r="L7" t="s">
        <v>23</v>
      </c>
      <c r="M7" t="str">
        <f t="shared" si="2"/>
        <v>1</v>
      </c>
      <c r="O7" t="str">
        <f t="shared" si="1"/>
        <v xml:space="preserve">1 </v>
      </c>
      <c r="P7">
        <v>11.4</v>
      </c>
      <c r="Q7" t="s">
        <v>24</v>
      </c>
    </row>
    <row r="8" spans="1:17" x14ac:dyDescent="0.25">
      <c r="A8" t="s">
        <v>17</v>
      </c>
      <c r="B8" s="1">
        <v>41718</v>
      </c>
      <c r="C8" t="s">
        <v>18</v>
      </c>
      <c r="D8" t="str">
        <f>CONCATENATE("0060010606","")</f>
        <v>0060010606</v>
      </c>
      <c r="E8" t="str">
        <f>CONCATENATE("0010801002685       ","")</f>
        <v xml:space="preserve">0010801002685       </v>
      </c>
      <c r="F8" t="str">
        <f>CONCATENATE("1860608","")</f>
        <v>1860608</v>
      </c>
      <c r="G8" t="s">
        <v>25</v>
      </c>
      <c r="H8" t="s">
        <v>37</v>
      </c>
      <c r="I8" t="s">
        <v>38</v>
      </c>
      <c r="J8" t="str">
        <f t="shared" si="0"/>
        <v>080107</v>
      </c>
      <c r="K8" t="s">
        <v>22</v>
      </c>
      <c r="L8" t="s">
        <v>23</v>
      </c>
      <c r="M8" t="str">
        <f t="shared" si="2"/>
        <v>1</v>
      </c>
      <c r="O8" t="str">
        <f t="shared" si="1"/>
        <v xml:space="preserve">1 </v>
      </c>
      <c r="P8">
        <v>154.4</v>
      </c>
      <c r="Q8" t="s">
        <v>24</v>
      </c>
    </row>
    <row r="9" spans="1:17" x14ac:dyDescent="0.25">
      <c r="A9" t="s">
        <v>17</v>
      </c>
      <c r="B9" s="1">
        <v>41718</v>
      </c>
      <c r="C9" t="s">
        <v>18</v>
      </c>
      <c r="D9" t="str">
        <f>CONCATENATE("0060010808","")</f>
        <v>0060010808</v>
      </c>
      <c r="E9" t="str">
        <f>CONCATENATE("0010801002805       ","")</f>
        <v xml:space="preserve">0010801002805       </v>
      </c>
      <c r="F9" t="str">
        <f>CONCATENATE("6876","")</f>
        <v>6876</v>
      </c>
      <c r="G9" t="s">
        <v>25</v>
      </c>
      <c r="H9" t="s">
        <v>39</v>
      </c>
      <c r="I9" t="s">
        <v>40</v>
      </c>
      <c r="J9" t="str">
        <f t="shared" si="0"/>
        <v>080107</v>
      </c>
      <c r="K9" t="s">
        <v>22</v>
      </c>
      <c r="L9" t="s">
        <v>23</v>
      </c>
      <c r="M9" t="str">
        <f t="shared" si="2"/>
        <v>1</v>
      </c>
      <c r="O9" t="str">
        <f t="shared" si="1"/>
        <v xml:space="preserve">1 </v>
      </c>
      <c r="P9">
        <v>11.35</v>
      </c>
      <c r="Q9" t="s">
        <v>24</v>
      </c>
    </row>
    <row r="10" spans="1:17" x14ac:dyDescent="0.25">
      <c r="A10" t="s">
        <v>17</v>
      </c>
      <c r="B10" s="1">
        <v>41718</v>
      </c>
      <c r="C10" t="s">
        <v>18</v>
      </c>
      <c r="D10" t="str">
        <f>CONCATENATE("0060010101","")</f>
        <v>0060010101</v>
      </c>
      <c r="E10" t="str">
        <f>CONCATENATE("0010801002833       ","")</f>
        <v xml:space="preserve">0010801002833       </v>
      </c>
      <c r="F10" t="str">
        <f>CONCATENATE("1861133","")</f>
        <v>1861133</v>
      </c>
      <c r="G10" t="s">
        <v>25</v>
      </c>
      <c r="H10" t="s">
        <v>41</v>
      </c>
      <c r="I10" t="s">
        <v>18</v>
      </c>
      <c r="J10" t="str">
        <f t="shared" si="0"/>
        <v>080107</v>
      </c>
      <c r="K10" t="s">
        <v>22</v>
      </c>
      <c r="L10" t="s">
        <v>23</v>
      </c>
      <c r="M10" t="str">
        <f t="shared" si="2"/>
        <v>1</v>
      </c>
      <c r="O10" t="str">
        <f t="shared" si="1"/>
        <v xml:space="preserve">1 </v>
      </c>
      <c r="P10">
        <v>11.4</v>
      </c>
      <c r="Q10" t="s">
        <v>24</v>
      </c>
    </row>
    <row r="11" spans="1:17" x14ac:dyDescent="0.25">
      <c r="A11" t="s">
        <v>17</v>
      </c>
      <c r="B11" s="1">
        <v>41718</v>
      </c>
      <c r="C11" t="s">
        <v>18</v>
      </c>
      <c r="D11" t="str">
        <f>CONCATENATE("0060015602","")</f>
        <v>0060015602</v>
      </c>
      <c r="E11" t="str">
        <f>CONCATENATE("0010801002851       ","")</f>
        <v xml:space="preserve">0010801002851       </v>
      </c>
      <c r="F11" t="str">
        <f>CONCATENATE("605931678","")</f>
        <v>605931678</v>
      </c>
      <c r="G11" t="s">
        <v>25</v>
      </c>
      <c r="H11" t="s">
        <v>42</v>
      </c>
      <c r="I11" t="s">
        <v>43</v>
      </c>
      <c r="J11" t="str">
        <f t="shared" si="0"/>
        <v>080107</v>
      </c>
      <c r="K11" t="s">
        <v>22</v>
      </c>
      <c r="L11" t="s">
        <v>23</v>
      </c>
      <c r="M11" t="str">
        <f t="shared" si="2"/>
        <v>1</v>
      </c>
      <c r="O11" t="str">
        <f t="shared" si="1"/>
        <v xml:space="preserve">1 </v>
      </c>
      <c r="P11">
        <v>153.30000000000001</v>
      </c>
      <c r="Q11" t="s">
        <v>24</v>
      </c>
    </row>
    <row r="12" spans="1:17" x14ac:dyDescent="0.25">
      <c r="A12" t="s">
        <v>17</v>
      </c>
      <c r="B12" s="1">
        <v>41718</v>
      </c>
      <c r="C12" t="s">
        <v>18</v>
      </c>
      <c r="D12" t="str">
        <f>CONCATENATE("0060000176","")</f>
        <v>0060000176</v>
      </c>
      <c r="E12" t="str">
        <f>CONCATENATE("0010801002920       ","")</f>
        <v xml:space="preserve">0010801002920       </v>
      </c>
      <c r="F12" t="str">
        <f>CONCATENATE("00000000069","")</f>
        <v>00000000069</v>
      </c>
      <c r="G12" t="s">
        <v>19</v>
      </c>
      <c r="H12" t="s">
        <v>44</v>
      </c>
      <c r="I12" t="s">
        <v>45</v>
      </c>
      <c r="J12" t="str">
        <f t="shared" si="0"/>
        <v>080107</v>
      </c>
      <c r="K12" t="s">
        <v>22</v>
      </c>
      <c r="L12" t="s">
        <v>23</v>
      </c>
      <c r="M12" t="str">
        <f t="shared" si="2"/>
        <v>1</v>
      </c>
      <c r="O12" t="str">
        <f t="shared" si="1"/>
        <v xml:space="preserve">1 </v>
      </c>
      <c r="P12">
        <v>367.4</v>
      </c>
      <c r="Q12" t="s">
        <v>24</v>
      </c>
    </row>
    <row r="13" spans="1:17" x14ac:dyDescent="0.25">
      <c r="A13" t="s">
        <v>17</v>
      </c>
      <c r="B13" s="1">
        <v>41718</v>
      </c>
      <c r="C13" t="s">
        <v>18</v>
      </c>
      <c r="D13" t="str">
        <f>CONCATENATE("0060000189","")</f>
        <v>0060000189</v>
      </c>
      <c r="E13" t="str">
        <f>CONCATENATE("0010801003020       ","")</f>
        <v xml:space="preserve">0010801003020       </v>
      </c>
      <c r="F13" t="str">
        <f>CONCATENATE("1079995","")</f>
        <v>1079995</v>
      </c>
      <c r="G13" t="s">
        <v>19</v>
      </c>
      <c r="H13" t="s">
        <v>46</v>
      </c>
      <c r="I13" t="s">
        <v>47</v>
      </c>
      <c r="J13" t="str">
        <f t="shared" si="0"/>
        <v>080107</v>
      </c>
      <c r="K13" t="s">
        <v>22</v>
      </c>
      <c r="L13" t="s">
        <v>23</v>
      </c>
      <c r="M13" t="str">
        <f t="shared" si="2"/>
        <v>1</v>
      </c>
      <c r="O13" t="str">
        <f t="shared" si="1"/>
        <v xml:space="preserve">1 </v>
      </c>
      <c r="P13">
        <v>161.05000000000001</v>
      </c>
      <c r="Q13" t="s">
        <v>24</v>
      </c>
    </row>
    <row r="14" spans="1:17" x14ac:dyDescent="0.25">
      <c r="A14" t="s">
        <v>17</v>
      </c>
      <c r="B14" s="1">
        <v>41718</v>
      </c>
      <c r="C14" t="s">
        <v>48</v>
      </c>
      <c r="D14" t="str">
        <f>CONCATENATE("0060000206","")</f>
        <v>0060000206</v>
      </c>
      <c r="E14" t="str">
        <f>CONCATENATE("0010802000005       ","")</f>
        <v xml:space="preserve">0010802000005       </v>
      </c>
      <c r="F14" t="str">
        <f>CONCATENATE("507028876","")</f>
        <v>507028876</v>
      </c>
      <c r="G14" t="s">
        <v>49</v>
      </c>
      <c r="H14" t="s">
        <v>50</v>
      </c>
      <c r="I14" t="s">
        <v>51</v>
      </c>
      <c r="J14" t="str">
        <f>CONCATENATE("080104","")</f>
        <v>080104</v>
      </c>
      <c r="K14" t="s">
        <v>22</v>
      </c>
      <c r="L14" t="s">
        <v>23</v>
      </c>
      <c r="M14" t="str">
        <f>CONCATENATE("3","")</f>
        <v>3</v>
      </c>
      <c r="O14" t="str">
        <f>CONCATENATE("6 ","")</f>
        <v xml:space="preserve">6 </v>
      </c>
      <c r="P14">
        <v>1015.65</v>
      </c>
      <c r="Q14" t="s">
        <v>28</v>
      </c>
    </row>
    <row r="15" spans="1:17" x14ac:dyDescent="0.25">
      <c r="A15" t="s">
        <v>17</v>
      </c>
      <c r="B15" s="1">
        <v>41718</v>
      </c>
      <c r="C15" t="s">
        <v>48</v>
      </c>
      <c r="D15" t="str">
        <f>CONCATENATE("0060010531","")</f>
        <v>0060010531</v>
      </c>
      <c r="E15" t="str">
        <f>CONCATENATE("0010802000015       ","")</f>
        <v xml:space="preserve">0010802000015       </v>
      </c>
      <c r="F15" t="str">
        <f>CONCATENATE("90910706","")</f>
        <v>90910706</v>
      </c>
      <c r="G15" t="s">
        <v>52</v>
      </c>
      <c r="H15" t="s">
        <v>53</v>
      </c>
      <c r="I15" t="s">
        <v>54</v>
      </c>
      <c r="J15" t="str">
        <f>CONCATENATE("080104","")</f>
        <v>080104</v>
      </c>
      <c r="K15" t="s">
        <v>22</v>
      </c>
      <c r="L15" t="s">
        <v>23</v>
      </c>
      <c r="M15" t="str">
        <f>CONCATENATE("3","")</f>
        <v>3</v>
      </c>
      <c r="O15" t="str">
        <f t="shared" ref="O15:O23" si="3">CONCATENATE("1 ","")</f>
        <v xml:space="preserve">1 </v>
      </c>
      <c r="P15">
        <v>1859.35</v>
      </c>
      <c r="Q15" t="s">
        <v>28</v>
      </c>
    </row>
    <row r="16" spans="1:17" x14ac:dyDescent="0.25">
      <c r="A16" t="s">
        <v>17</v>
      </c>
      <c r="B16" s="1">
        <v>41718</v>
      </c>
      <c r="C16" t="s">
        <v>18</v>
      </c>
      <c r="D16" t="str">
        <f>CONCATENATE("0060010734","")</f>
        <v>0060010734</v>
      </c>
      <c r="E16" t="str">
        <f>CONCATENATE("0010802000232       ","")</f>
        <v xml:space="preserve">0010802000232       </v>
      </c>
      <c r="F16" t="str">
        <f>CONCATENATE("13569","")</f>
        <v>13569</v>
      </c>
      <c r="G16" t="s">
        <v>49</v>
      </c>
      <c r="H16" t="s">
        <v>55</v>
      </c>
      <c r="I16" t="s">
        <v>56</v>
      </c>
      <c r="J16" t="str">
        <f>CONCATENATE("080107","")</f>
        <v>080107</v>
      </c>
      <c r="K16" t="s">
        <v>22</v>
      </c>
      <c r="L16" t="s">
        <v>23</v>
      </c>
      <c r="M16" t="str">
        <f>CONCATENATE("3","")</f>
        <v>3</v>
      </c>
      <c r="O16" t="str">
        <f t="shared" si="3"/>
        <v xml:space="preserve">1 </v>
      </c>
      <c r="P16">
        <v>19.5</v>
      </c>
      <c r="Q16" t="s">
        <v>28</v>
      </c>
    </row>
    <row r="17" spans="1:17" x14ac:dyDescent="0.25">
      <c r="A17" t="s">
        <v>17</v>
      </c>
      <c r="B17" s="1">
        <v>41718</v>
      </c>
      <c r="C17" t="s">
        <v>48</v>
      </c>
      <c r="D17" t="str">
        <f>CONCATENATE("0060008085","")</f>
        <v>0060008085</v>
      </c>
      <c r="E17" t="str">
        <f>CONCATENATE("0010802000264       ","")</f>
        <v xml:space="preserve">0010802000264       </v>
      </c>
      <c r="F17" t="str">
        <f>CONCATENATE("110114","")</f>
        <v>110114</v>
      </c>
      <c r="G17" t="s">
        <v>49</v>
      </c>
      <c r="H17" t="s">
        <v>57</v>
      </c>
      <c r="I17" t="s">
        <v>58</v>
      </c>
      <c r="J17" t="str">
        <f>CONCATENATE("080104","")</f>
        <v>080104</v>
      </c>
      <c r="K17" t="s">
        <v>22</v>
      </c>
      <c r="L17" t="s">
        <v>23</v>
      </c>
      <c r="M17" t="str">
        <f>CONCATENATE("3","")</f>
        <v>3</v>
      </c>
      <c r="O17" t="str">
        <f t="shared" si="3"/>
        <v xml:space="preserve">1 </v>
      </c>
      <c r="P17">
        <v>194.55</v>
      </c>
      <c r="Q17" t="s">
        <v>28</v>
      </c>
    </row>
    <row r="18" spans="1:17" x14ac:dyDescent="0.25">
      <c r="A18" t="s">
        <v>17</v>
      </c>
      <c r="B18" s="1">
        <v>41718</v>
      </c>
      <c r="C18" t="s">
        <v>48</v>
      </c>
      <c r="D18" t="str">
        <f>CONCATENATE("0060000282","")</f>
        <v>0060000282</v>
      </c>
      <c r="E18" t="str">
        <f>CONCATENATE("0010802000414       ","")</f>
        <v xml:space="preserve">0010802000414       </v>
      </c>
      <c r="F18" t="str">
        <f>CONCATENATE("1942820","")</f>
        <v>1942820</v>
      </c>
      <c r="G18" t="s">
        <v>59</v>
      </c>
      <c r="H18" t="s">
        <v>60</v>
      </c>
      <c r="I18" t="s">
        <v>61</v>
      </c>
      <c r="J18" t="str">
        <f>CONCATENATE("080104","")</f>
        <v>080104</v>
      </c>
      <c r="K18" t="s">
        <v>22</v>
      </c>
      <c r="L18" t="s">
        <v>23</v>
      </c>
      <c r="M18" t="str">
        <f>CONCATENATE("1","")</f>
        <v>1</v>
      </c>
      <c r="O18" t="str">
        <f t="shared" si="3"/>
        <v xml:space="preserve">1 </v>
      </c>
      <c r="P18">
        <v>231.75</v>
      </c>
      <c r="Q18" t="s">
        <v>24</v>
      </c>
    </row>
    <row r="19" spans="1:17" x14ac:dyDescent="0.25">
      <c r="A19" t="s">
        <v>17</v>
      </c>
      <c r="B19" s="1">
        <v>41718</v>
      </c>
      <c r="C19" t="s">
        <v>48</v>
      </c>
      <c r="D19" t="str">
        <f>CONCATENATE("0060017725","")</f>
        <v>0060017725</v>
      </c>
      <c r="E19" t="str">
        <f>CONCATENATE("0010802000426       ","")</f>
        <v xml:space="preserve">0010802000426       </v>
      </c>
      <c r="F19" t="str">
        <f>CONCATENATE("507006434","")</f>
        <v>507006434</v>
      </c>
      <c r="G19" t="s">
        <v>59</v>
      </c>
      <c r="H19" t="s">
        <v>62</v>
      </c>
      <c r="I19" t="s">
        <v>63</v>
      </c>
      <c r="J19" t="str">
        <f>CONCATENATE("080104","")</f>
        <v>080104</v>
      </c>
      <c r="K19" t="s">
        <v>22</v>
      </c>
      <c r="L19" t="s">
        <v>23</v>
      </c>
      <c r="M19" t="str">
        <f>CONCATENATE("3","")</f>
        <v>3</v>
      </c>
      <c r="O19" t="str">
        <f t="shared" si="3"/>
        <v xml:space="preserve">1 </v>
      </c>
      <c r="P19">
        <v>153.4</v>
      </c>
      <c r="Q19" t="s">
        <v>28</v>
      </c>
    </row>
    <row r="20" spans="1:17" x14ac:dyDescent="0.25">
      <c r="A20" t="s">
        <v>17</v>
      </c>
      <c r="B20" s="1">
        <v>41718</v>
      </c>
      <c r="C20" t="s">
        <v>18</v>
      </c>
      <c r="D20" t="str">
        <f>CONCATENATE("0060016221","")</f>
        <v>0060016221</v>
      </c>
      <c r="E20" t="str">
        <f>CONCATENATE("0010803000009       ","")</f>
        <v xml:space="preserve">0010803000009       </v>
      </c>
      <c r="F20" t="str">
        <f>CONCATENATE("1730338","")</f>
        <v>1730338</v>
      </c>
      <c r="G20" t="s">
        <v>64</v>
      </c>
      <c r="H20" t="s">
        <v>65</v>
      </c>
      <c r="I20" t="s">
        <v>66</v>
      </c>
      <c r="J20" t="str">
        <f>CONCATENATE("080107","")</f>
        <v>080107</v>
      </c>
      <c r="K20" t="s">
        <v>22</v>
      </c>
      <c r="L20" t="s">
        <v>23</v>
      </c>
      <c r="M20" t="str">
        <f>CONCATENATE("1","")</f>
        <v>1</v>
      </c>
      <c r="O20" t="str">
        <f t="shared" si="3"/>
        <v xml:space="preserve">1 </v>
      </c>
      <c r="P20">
        <v>117.65</v>
      </c>
      <c r="Q20" t="s">
        <v>24</v>
      </c>
    </row>
    <row r="21" spans="1:17" x14ac:dyDescent="0.25">
      <c r="A21" t="s">
        <v>17</v>
      </c>
      <c r="B21" s="1">
        <v>41718</v>
      </c>
      <c r="C21" t="s">
        <v>67</v>
      </c>
      <c r="D21" t="str">
        <f>CONCATENATE("0060008328","")</f>
        <v>0060008328</v>
      </c>
      <c r="E21" t="str">
        <f>CONCATENATE("0010803000014       ","")</f>
        <v xml:space="preserve">0010803000014       </v>
      </c>
      <c r="F21" t="str">
        <f>CONCATENATE("1098771","")</f>
        <v>1098771</v>
      </c>
      <c r="G21" t="s">
        <v>64</v>
      </c>
      <c r="H21" t="s">
        <v>68</v>
      </c>
      <c r="I21" t="s">
        <v>69</v>
      </c>
      <c r="J21" t="str">
        <f>CONCATENATE("081207","")</f>
        <v>081207</v>
      </c>
      <c r="K21" t="s">
        <v>22</v>
      </c>
      <c r="L21" t="s">
        <v>23</v>
      </c>
      <c r="M21" t="str">
        <f>CONCATENATE("1","")</f>
        <v>1</v>
      </c>
      <c r="O21" t="str">
        <f t="shared" si="3"/>
        <v xml:space="preserve">1 </v>
      </c>
      <c r="P21">
        <v>55.8</v>
      </c>
      <c r="Q21" t="s">
        <v>24</v>
      </c>
    </row>
    <row r="22" spans="1:17" x14ac:dyDescent="0.25">
      <c r="A22" t="s">
        <v>17</v>
      </c>
      <c r="B22" s="1">
        <v>41718</v>
      </c>
      <c r="C22" t="s">
        <v>18</v>
      </c>
      <c r="D22" t="str">
        <f>CONCATENATE("0060012649","")</f>
        <v>0060012649</v>
      </c>
      <c r="E22" t="str">
        <f>CONCATENATE("0010803000035       ","")</f>
        <v xml:space="preserve">0010803000035       </v>
      </c>
      <c r="F22" t="str">
        <f>CONCATENATE("110974","")</f>
        <v>110974</v>
      </c>
      <c r="G22" t="s">
        <v>64</v>
      </c>
      <c r="H22" t="s">
        <v>70</v>
      </c>
      <c r="I22" t="s">
        <v>71</v>
      </c>
      <c r="J22" t="str">
        <f>CONCATENATE("080107","")</f>
        <v>080107</v>
      </c>
      <c r="K22" t="s">
        <v>22</v>
      </c>
      <c r="L22" t="s">
        <v>23</v>
      </c>
      <c r="M22" t="str">
        <f>CONCATENATE("3","")</f>
        <v>3</v>
      </c>
      <c r="O22" t="str">
        <f t="shared" si="3"/>
        <v xml:space="preserve">1 </v>
      </c>
      <c r="P22">
        <v>316.7</v>
      </c>
      <c r="Q22" t="s">
        <v>28</v>
      </c>
    </row>
    <row r="23" spans="1:17" x14ac:dyDescent="0.25">
      <c r="A23" t="s">
        <v>17</v>
      </c>
      <c r="B23" s="1">
        <v>41718</v>
      </c>
      <c r="C23" t="s">
        <v>67</v>
      </c>
      <c r="D23" t="str">
        <f>CONCATENATE("0060000339","")</f>
        <v>0060000339</v>
      </c>
      <c r="E23" t="str">
        <f>CONCATENATE("0010803000170       ","")</f>
        <v xml:space="preserve">0010803000170       </v>
      </c>
      <c r="F23" t="str">
        <f>CONCATENATE("1861128","")</f>
        <v>1861128</v>
      </c>
      <c r="G23" t="s">
        <v>64</v>
      </c>
      <c r="H23" t="s">
        <v>72</v>
      </c>
      <c r="I23" t="s">
        <v>73</v>
      </c>
      <c r="J23" t="str">
        <f t="shared" ref="J23:J29" si="4">CONCATENATE("081207","")</f>
        <v>081207</v>
      </c>
      <c r="K23" t="s">
        <v>22</v>
      </c>
      <c r="L23" t="s">
        <v>23</v>
      </c>
      <c r="M23" t="str">
        <f>CONCATENATE("1","")</f>
        <v>1</v>
      </c>
      <c r="O23" t="str">
        <f t="shared" si="3"/>
        <v xml:space="preserve">1 </v>
      </c>
      <c r="P23">
        <v>220.85</v>
      </c>
      <c r="Q23" t="s">
        <v>24</v>
      </c>
    </row>
    <row r="24" spans="1:17" x14ac:dyDescent="0.25">
      <c r="A24" t="s">
        <v>17</v>
      </c>
      <c r="B24" s="1">
        <v>41718</v>
      </c>
      <c r="C24" t="s">
        <v>67</v>
      </c>
      <c r="D24" t="str">
        <f>CONCATENATE("0060010225","")</f>
        <v>0060010225</v>
      </c>
      <c r="E24" t="str">
        <f>CONCATENATE("0010803000204       ","")</f>
        <v xml:space="preserve">0010803000204       </v>
      </c>
      <c r="F24" t="str">
        <f>CONCATENATE("00000329733","")</f>
        <v>00000329733</v>
      </c>
      <c r="G24" t="s">
        <v>64</v>
      </c>
      <c r="H24" t="s">
        <v>74</v>
      </c>
      <c r="I24" t="s">
        <v>75</v>
      </c>
      <c r="J24" t="str">
        <f t="shared" si="4"/>
        <v>081207</v>
      </c>
      <c r="K24" t="s">
        <v>22</v>
      </c>
      <c r="L24" t="s">
        <v>23</v>
      </c>
      <c r="M24" t="str">
        <f>CONCATENATE("1","")</f>
        <v>1</v>
      </c>
      <c r="O24" t="str">
        <f>CONCATENATE("2 ","")</f>
        <v xml:space="preserve">2 </v>
      </c>
      <c r="P24">
        <v>18.5</v>
      </c>
      <c r="Q24" t="s">
        <v>24</v>
      </c>
    </row>
    <row r="25" spans="1:17" x14ac:dyDescent="0.25">
      <c r="A25" t="s">
        <v>17</v>
      </c>
      <c r="B25" s="1">
        <v>41718</v>
      </c>
      <c r="C25" t="s">
        <v>18</v>
      </c>
      <c r="D25" t="str">
        <f>CONCATENATE("0060011245","")</f>
        <v>0060011245</v>
      </c>
      <c r="E25" t="str">
        <f>CONCATENATE("0010803000206       ","")</f>
        <v xml:space="preserve">0010803000206       </v>
      </c>
      <c r="F25" t="str">
        <f>CONCATENATE("507029425","")</f>
        <v>507029425</v>
      </c>
      <c r="G25" t="s">
        <v>64</v>
      </c>
      <c r="H25" t="s">
        <v>76</v>
      </c>
      <c r="I25" t="s">
        <v>69</v>
      </c>
      <c r="J25" t="str">
        <f t="shared" si="4"/>
        <v>081207</v>
      </c>
      <c r="K25" t="s">
        <v>22</v>
      </c>
      <c r="L25" t="s">
        <v>23</v>
      </c>
      <c r="M25" t="str">
        <f>CONCATENATE("3","")</f>
        <v>3</v>
      </c>
      <c r="O25" t="str">
        <f>CONCATENATE("1 ","")</f>
        <v xml:space="preserve">1 </v>
      </c>
      <c r="P25">
        <v>315.75</v>
      </c>
      <c r="Q25" t="s">
        <v>28</v>
      </c>
    </row>
    <row r="26" spans="1:17" x14ac:dyDescent="0.25">
      <c r="A26" t="s">
        <v>17</v>
      </c>
      <c r="B26" s="1">
        <v>41718</v>
      </c>
      <c r="C26" t="s">
        <v>67</v>
      </c>
      <c r="D26" t="str">
        <f>CONCATENATE("0060008734","")</f>
        <v>0060008734</v>
      </c>
      <c r="E26" t="str">
        <f>CONCATENATE("0010803000208       ","")</f>
        <v xml:space="preserve">0010803000208       </v>
      </c>
      <c r="F26" t="str">
        <f>CONCATENATE("605938273","")</f>
        <v>605938273</v>
      </c>
      <c r="G26" t="s">
        <v>64</v>
      </c>
      <c r="H26" t="s">
        <v>77</v>
      </c>
      <c r="I26" t="s">
        <v>78</v>
      </c>
      <c r="J26" t="str">
        <f t="shared" si="4"/>
        <v>081207</v>
      </c>
      <c r="K26" t="s">
        <v>22</v>
      </c>
      <c r="L26" t="s">
        <v>23</v>
      </c>
      <c r="M26" t="str">
        <f t="shared" ref="M26:M33" si="5">CONCATENATE("1","")</f>
        <v>1</v>
      </c>
      <c r="O26" t="str">
        <f>CONCATENATE("1 ","")</f>
        <v xml:space="preserve">1 </v>
      </c>
      <c r="P26">
        <v>18.75</v>
      </c>
      <c r="Q26" t="s">
        <v>24</v>
      </c>
    </row>
    <row r="27" spans="1:17" x14ac:dyDescent="0.25">
      <c r="A27" t="s">
        <v>17</v>
      </c>
      <c r="B27" s="1">
        <v>41718</v>
      </c>
      <c r="C27" t="s">
        <v>67</v>
      </c>
      <c r="D27" t="str">
        <f>CONCATENATE("0060008279","")</f>
        <v>0060008279</v>
      </c>
      <c r="E27" t="str">
        <f>CONCATENATE("0010803000265       ","")</f>
        <v xml:space="preserve">0010803000265       </v>
      </c>
      <c r="F27" t="str">
        <f>CONCATENATE("605759969","")</f>
        <v>605759969</v>
      </c>
      <c r="G27" t="s">
        <v>79</v>
      </c>
      <c r="H27" t="s">
        <v>80</v>
      </c>
      <c r="I27" t="s">
        <v>81</v>
      </c>
      <c r="J27" t="str">
        <f t="shared" si="4"/>
        <v>081207</v>
      </c>
      <c r="K27" t="s">
        <v>22</v>
      </c>
      <c r="L27" t="s">
        <v>23</v>
      </c>
      <c r="M27" t="str">
        <f t="shared" si="5"/>
        <v>1</v>
      </c>
      <c r="O27" t="str">
        <f>CONCATENATE("1 ","")</f>
        <v xml:space="preserve">1 </v>
      </c>
      <c r="P27">
        <v>94.65</v>
      </c>
      <c r="Q27" t="s">
        <v>24</v>
      </c>
    </row>
    <row r="28" spans="1:17" x14ac:dyDescent="0.25">
      <c r="A28" t="s">
        <v>17</v>
      </c>
      <c r="B28" s="1">
        <v>41718</v>
      </c>
      <c r="C28" t="s">
        <v>18</v>
      </c>
      <c r="D28" t="str">
        <f>CONCATENATE("0060011015","")</f>
        <v>0060011015</v>
      </c>
      <c r="E28" t="str">
        <f>CONCATENATE("0010803000278       ","")</f>
        <v xml:space="preserve">0010803000278       </v>
      </c>
      <c r="F28" t="str">
        <f>CONCATENATE("605085346","")</f>
        <v>605085346</v>
      </c>
      <c r="G28" t="s">
        <v>64</v>
      </c>
      <c r="H28" t="s">
        <v>82</v>
      </c>
      <c r="I28" t="s">
        <v>69</v>
      </c>
      <c r="J28" t="str">
        <f t="shared" si="4"/>
        <v>081207</v>
      </c>
      <c r="K28" t="s">
        <v>22</v>
      </c>
      <c r="L28" t="s">
        <v>23</v>
      </c>
      <c r="M28" t="str">
        <f t="shared" si="5"/>
        <v>1</v>
      </c>
      <c r="O28" t="str">
        <f>CONCATENATE("4 ","")</f>
        <v xml:space="preserve">4 </v>
      </c>
      <c r="P28">
        <v>28.1</v>
      </c>
      <c r="Q28" t="s">
        <v>24</v>
      </c>
    </row>
    <row r="29" spans="1:17" x14ac:dyDescent="0.25">
      <c r="A29" t="s">
        <v>17</v>
      </c>
      <c r="B29" s="1">
        <v>41718</v>
      </c>
      <c r="C29" t="s">
        <v>67</v>
      </c>
      <c r="D29" t="str">
        <f>CONCATENATE("0060010289","")</f>
        <v>0060010289</v>
      </c>
      <c r="E29" t="str">
        <f>CONCATENATE("0010803000310       ","")</f>
        <v xml:space="preserve">0010803000310       </v>
      </c>
      <c r="F29" t="str">
        <f>CONCATENATE("1861492","")</f>
        <v>1861492</v>
      </c>
      <c r="G29" t="s">
        <v>79</v>
      </c>
      <c r="H29" t="s">
        <v>83</v>
      </c>
      <c r="I29" t="s">
        <v>84</v>
      </c>
      <c r="J29" t="str">
        <f t="shared" si="4"/>
        <v>081207</v>
      </c>
      <c r="K29" t="s">
        <v>22</v>
      </c>
      <c r="L29" t="s">
        <v>23</v>
      </c>
      <c r="M29" t="str">
        <f t="shared" si="5"/>
        <v>1</v>
      </c>
      <c r="O29" t="str">
        <f>CONCATENATE("6 ","")</f>
        <v xml:space="preserve">6 </v>
      </c>
      <c r="P29">
        <v>147.25</v>
      </c>
      <c r="Q29" t="s">
        <v>24</v>
      </c>
    </row>
    <row r="30" spans="1:17" x14ac:dyDescent="0.25">
      <c r="A30" t="s">
        <v>17</v>
      </c>
      <c r="B30" s="1">
        <v>41718</v>
      </c>
      <c r="C30" t="s">
        <v>18</v>
      </c>
      <c r="D30" t="str">
        <f>CONCATENATE("0060013004","")</f>
        <v>0060013004</v>
      </c>
      <c r="E30" t="str">
        <f>CONCATENATE("0010803000311       ","")</f>
        <v xml:space="preserve">0010803000311       </v>
      </c>
      <c r="F30" t="str">
        <f>CONCATENATE("0605283818","")</f>
        <v>0605283818</v>
      </c>
      <c r="G30" t="s">
        <v>79</v>
      </c>
      <c r="H30" t="s">
        <v>85</v>
      </c>
      <c r="I30" t="s">
        <v>86</v>
      </c>
      <c r="J30" t="str">
        <f t="shared" ref="J30:J35" si="6">CONCATENATE("080107","")</f>
        <v>080107</v>
      </c>
      <c r="K30" t="s">
        <v>22</v>
      </c>
      <c r="L30" t="s">
        <v>23</v>
      </c>
      <c r="M30" t="str">
        <f t="shared" si="5"/>
        <v>1</v>
      </c>
      <c r="O30" t="str">
        <f>CONCATENATE("5 ","")</f>
        <v xml:space="preserve">5 </v>
      </c>
      <c r="P30">
        <v>280.3</v>
      </c>
      <c r="Q30" t="s">
        <v>24</v>
      </c>
    </row>
    <row r="31" spans="1:17" x14ac:dyDescent="0.25">
      <c r="A31" t="s">
        <v>17</v>
      </c>
      <c r="B31" s="1">
        <v>41718</v>
      </c>
      <c r="C31" t="s">
        <v>18</v>
      </c>
      <c r="D31" t="str">
        <f>CONCATENATE("0060015117","")</f>
        <v>0060015117</v>
      </c>
      <c r="E31" t="str">
        <f>CONCATENATE("0010804000045       ","")</f>
        <v xml:space="preserve">0010804000045       </v>
      </c>
      <c r="F31" t="str">
        <f>CONCATENATE("605932610","")</f>
        <v>605932610</v>
      </c>
      <c r="G31" t="s">
        <v>87</v>
      </c>
      <c r="H31" t="s">
        <v>88</v>
      </c>
      <c r="I31" t="s">
        <v>89</v>
      </c>
      <c r="J31" t="str">
        <f t="shared" si="6"/>
        <v>080107</v>
      </c>
      <c r="K31" t="s">
        <v>22</v>
      </c>
      <c r="L31" t="s">
        <v>23</v>
      </c>
      <c r="M31" t="str">
        <f t="shared" si="5"/>
        <v>1</v>
      </c>
      <c r="O31" t="str">
        <f t="shared" ref="O31:O37" si="7">CONCATENATE("1 ","")</f>
        <v xml:space="preserve">1 </v>
      </c>
      <c r="P31">
        <v>690.35</v>
      </c>
      <c r="Q31" t="s">
        <v>24</v>
      </c>
    </row>
    <row r="32" spans="1:17" x14ac:dyDescent="0.25">
      <c r="A32" t="s">
        <v>17</v>
      </c>
      <c r="B32" s="1">
        <v>41718</v>
      </c>
      <c r="C32" t="s">
        <v>18</v>
      </c>
      <c r="D32" t="str">
        <f>CONCATENATE("0060014540","")</f>
        <v>0060014540</v>
      </c>
      <c r="E32" t="str">
        <f>CONCATENATE("0010804000105       ","")</f>
        <v xml:space="preserve">0010804000105       </v>
      </c>
      <c r="F32" t="str">
        <f>CONCATENATE("605940395","")</f>
        <v>605940395</v>
      </c>
      <c r="G32" t="s">
        <v>87</v>
      </c>
      <c r="H32" t="s">
        <v>90</v>
      </c>
      <c r="I32" t="s">
        <v>91</v>
      </c>
      <c r="J32" t="str">
        <f t="shared" si="6"/>
        <v>080107</v>
      </c>
      <c r="K32" t="s">
        <v>22</v>
      </c>
      <c r="L32" t="s">
        <v>23</v>
      </c>
      <c r="M32" t="str">
        <f t="shared" si="5"/>
        <v>1</v>
      </c>
      <c r="O32" t="str">
        <f t="shared" si="7"/>
        <v xml:space="preserve">1 </v>
      </c>
      <c r="P32">
        <v>26.1</v>
      </c>
      <c r="Q32" t="s">
        <v>24</v>
      </c>
    </row>
    <row r="33" spans="1:17" x14ac:dyDescent="0.25">
      <c r="A33" t="s">
        <v>17</v>
      </c>
      <c r="B33" s="1">
        <v>41718</v>
      </c>
      <c r="C33" t="s">
        <v>18</v>
      </c>
      <c r="D33" t="str">
        <f>CONCATENATE("0060010258","")</f>
        <v>0060010258</v>
      </c>
      <c r="E33" t="str">
        <f>CONCATENATE("0010805000880       ","")</f>
        <v xml:space="preserve">0010805000880       </v>
      </c>
      <c r="F33" t="str">
        <f>CONCATENATE("00000000505","")</f>
        <v>00000000505</v>
      </c>
      <c r="G33" t="s">
        <v>92</v>
      </c>
      <c r="H33" t="s">
        <v>93</v>
      </c>
      <c r="I33" t="s">
        <v>94</v>
      </c>
      <c r="J33" t="str">
        <f t="shared" si="6"/>
        <v>080107</v>
      </c>
      <c r="K33" t="s">
        <v>22</v>
      </c>
      <c r="L33" t="s">
        <v>23</v>
      </c>
      <c r="M33" t="str">
        <f t="shared" si="5"/>
        <v>1</v>
      </c>
      <c r="O33" t="str">
        <f t="shared" si="7"/>
        <v xml:space="preserve">1 </v>
      </c>
      <c r="P33">
        <v>107.1</v>
      </c>
      <c r="Q33" t="s">
        <v>24</v>
      </c>
    </row>
    <row r="34" spans="1:17" x14ac:dyDescent="0.25">
      <c r="A34" t="s">
        <v>17</v>
      </c>
      <c r="B34" s="1">
        <v>41718</v>
      </c>
      <c r="C34" t="s">
        <v>18</v>
      </c>
      <c r="D34" t="str">
        <f>CONCATENATE("0060015874","")</f>
        <v>0060015874</v>
      </c>
      <c r="E34" t="str">
        <f>CONCATENATE("0010805002020       ","")</f>
        <v xml:space="preserve">0010805002020       </v>
      </c>
      <c r="F34" t="str">
        <f>CONCATENATE("1680139","")</f>
        <v>1680139</v>
      </c>
      <c r="G34" t="s">
        <v>92</v>
      </c>
      <c r="H34" t="s">
        <v>95</v>
      </c>
      <c r="I34" t="s">
        <v>96</v>
      </c>
      <c r="J34" t="str">
        <f t="shared" si="6"/>
        <v>080107</v>
      </c>
      <c r="K34" t="s">
        <v>22</v>
      </c>
      <c r="L34" t="s">
        <v>23</v>
      </c>
      <c r="M34" t="str">
        <f>CONCATENATE("3","")</f>
        <v>3</v>
      </c>
      <c r="O34" t="str">
        <f t="shared" si="7"/>
        <v xml:space="preserve">1 </v>
      </c>
      <c r="P34">
        <v>126.05</v>
      </c>
      <c r="Q34" t="s">
        <v>28</v>
      </c>
    </row>
    <row r="35" spans="1:17" x14ac:dyDescent="0.25">
      <c r="A35" t="s">
        <v>17</v>
      </c>
      <c r="B35" s="1">
        <v>41718</v>
      </c>
      <c r="C35" t="s">
        <v>18</v>
      </c>
      <c r="D35" t="str">
        <f>CONCATENATE("0060012102","")</f>
        <v>0060012102</v>
      </c>
      <c r="E35" t="str">
        <f>CONCATENATE("0010805002310       ","")</f>
        <v xml:space="preserve">0010805002310       </v>
      </c>
      <c r="F35" t="str">
        <f>CONCATENATE("7032897","")</f>
        <v>7032897</v>
      </c>
      <c r="G35" t="s">
        <v>92</v>
      </c>
      <c r="H35" t="s">
        <v>97</v>
      </c>
      <c r="I35" t="s">
        <v>94</v>
      </c>
      <c r="J35" t="str">
        <f t="shared" si="6"/>
        <v>080107</v>
      </c>
      <c r="K35" t="s">
        <v>22</v>
      </c>
      <c r="L35" t="s">
        <v>23</v>
      </c>
      <c r="M35" t="str">
        <f t="shared" ref="M35:M48" si="8">CONCATENATE("1","")</f>
        <v>1</v>
      </c>
      <c r="O35" t="str">
        <f t="shared" si="7"/>
        <v xml:space="preserve">1 </v>
      </c>
      <c r="P35">
        <v>1002.6</v>
      </c>
      <c r="Q35" t="s">
        <v>28</v>
      </c>
    </row>
    <row r="36" spans="1:17" x14ac:dyDescent="0.25">
      <c r="A36" t="s">
        <v>17</v>
      </c>
      <c r="B36" s="1">
        <v>41718</v>
      </c>
      <c r="C36" t="s">
        <v>98</v>
      </c>
      <c r="D36" t="str">
        <f>CONCATENATE("0060018314","")</f>
        <v>0060018314</v>
      </c>
      <c r="E36" t="str">
        <f>CONCATENATE("0010805002620       ","")</f>
        <v xml:space="preserve">0010805002620       </v>
      </c>
      <c r="F36" t="str">
        <f>CONCATENATE("2190864","")</f>
        <v>2190864</v>
      </c>
      <c r="G36" t="s">
        <v>99</v>
      </c>
      <c r="H36" t="s">
        <v>100</v>
      </c>
      <c r="I36" t="s">
        <v>101</v>
      </c>
      <c r="J36" t="str">
        <f>CONCATENATE("081211","")</f>
        <v>081211</v>
      </c>
      <c r="K36" t="s">
        <v>22</v>
      </c>
      <c r="L36" t="s">
        <v>23</v>
      </c>
      <c r="M36" t="str">
        <f t="shared" si="8"/>
        <v>1</v>
      </c>
      <c r="O36" t="str">
        <f t="shared" si="7"/>
        <v xml:space="preserve">1 </v>
      </c>
      <c r="P36">
        <v>75.5</v>
      </c>
      <c r="Q36" t="s">
        <v>24</v>
      </c>
    </row>
    <row r="37" spans="1:17" x14ac:dyDescent="0.25">
      <c r="A37" t="s">
        <v>17</v>
      </c>
      <c r="B37" s="1">
        <v>41718</v>
      </c>
      <c r="C37" t="s">
        <v>18</v>
      </c>
      <c r="D37" t="str">
        <f>CONCATENATE("0060012646","")</f>
        <v>0060012646</v>
      </c>
      <c r="E37" t="str">
        <f>CONCATENATE("0010805002635       ","")</f>
        <v xml:space="preserve">0010805002635       </v>
      </c>
      <c r="F37" t="str">
        <f>CONCATENATE("605284745","")</f>
        <v>605284745</v>
      </c>
      <c r="G37" t="s">
        <v>99</v>
      </c>
      <c r="H37" t="s">
        <v>102</v>
      </c>
      <c r="I37" t="s">
        <v>103</v>
      </c>
      <c r="J37" t="str">
        <f>CONCATENATE("080107","")</f>
        <v>080107</v>
      </c>
      <c r="K37" t="s">
        <v>22</v>
      </c>
      <c r="L37" t="s">
        <v>23</v>
      </c>
      <c r="M37" t="str">
        <f t="shared" si="8"/>
        <v>1</v>
      </c>
      <c r="O37" t="str">
        <f t="shared" si="7"/>
        <v xml:space="preserve">1 </v>
      </c>
      <c r="P37">
        <v>69.900000000000006</v>
      </c>
      <c r="Q37" t="s">
        <v>24</v>
      </c>
    </row>
    <row r="38" spans="1:17" x14ac:dyDescent="0.25">
      <c r="A38" t="s">
        <v>17</v>
      </c>
      <c r="B38" s="1">
        <v>41718</v>
      </c>
      <c r="C38" t="s">
        <v>18</v>
      </c>
      <c r="D38" t="str">
        <f>CONCATENATE("0060010265","")</f>
        <v>0060010265</v>
      </c>
      <c r="E38" t="str">
        <f>CONCATENATE("0010805005150       ","")</f>
        <v xml:space="preserve">0010805005150       </v>
      </c>
      <c r="F38" t="str">
        <f>CONCATENATE("1860944","")</f>
        <v>1860944</v>
      </c>
      <c r="G38" t="s">
        <v>92</v>
      </c>
      <c r="H38" t="s">
        <v>104</v>
      </c>
      <c r="I38" t="s">
        <v>105</v>
      </c>
      <c r="J38" t="str">
        <f>CONCATENATE("080107","")</f>
        <v>080107</v>
      </c>
      <c r="K38" t="s">
        <v>22</v>
      </c>
      <c r="L38" t="s">
        <v>23</v>
      </c>
      <c r="M38" t="str">
        <f t="shared" si="8"/>
        <v>1</v>
      </c>
      <c r="O38" t="str">
        <f>CONCATENATE("2 ","")</f>
        <v xml:space="preserve">2 </v>
      </c>
      <c r="P38">
        <v>66.7</v>
      </c>
      <c r="Q38" t="s">
        <v>24</v>
      </c>
    </row>
    <row r="39" spans="1:17" x14ac:dyDescent="0.25">
      <c r="A39" t="s">
        <v>17</v>
      </c>
      <c r="B39" s="1">
        <v>41718</v>
      </c>
      <c r="C39" t="s">
        <v>18</v>
      </c>
      <c r="D39" t="str">
        <f>CONCATENATE("0060011127","")</f>
        <v>0060011127</v>
      </c>
      <c r="E39" t="str">
        <f>CONCATENATE("0010805006025       ","")</f>
        <v xml:space="preserve">0010805006025       </v>
      </c>
      <c r="F39" t="str">
        <f>CONCATENATE("1136230","")</f>
        <v>1136230</v>
      </c>
      <c r="G39" t="s">
        <v>19</v>
      </c>
      <c r="H39" t="s">
        <v>106</v>
      </c>
      <c r="I39" t="s">
        <v>107</v>
      </c>
      <c r="J39" t="str">
        <f>CONCATENATE("080107","")</f>
        <v>080107</v>
      </c>
      <c r="K39" t="s">
        <v>22</v>
      </c>
      <c r="L39" t="s">
        <v>23</v>
      </c>
      <c r="M39" t="str">
        <f t="shared" si="8"/>
        <v>1</v>
      </c>
      <c r="O39" t="str">
        <f>CONCATENATE("1 ","")</f>
        <v xml:space="preserve">1 </v>
      </c>
      <c r="P39">
        <v>99.4</v>
      </c>
      <c r="Q39" t="s">
        <v>24</v>
      </c>
    </row>
    <row r="40" spans="1:17" x14ac:dyDescent="0.25">
      <c r="A40" t="s">
        <v>17</v>
      </c>
      <c r="B40" s="1">
        <v>41718</v>
      </c>
      <c r="C40" t="s">
        <v>98</v>
      </c>
      <c r="D40" t="str">
        <f>CONCATENATE("0060016466","")</f>
        <v>0060016466</v>
      </c>
      <c r="E40" t="str">
        <f>CONCATENATE("0010806001160       ","")</f>
        <v xml:space="preserve">0010806001160       </v>
      </c>
      <c r="F40" t="str">
        <f>CONCATENATE("01781198","")</f>
        <v>01781198</v>
      </c>
      <c r="G40" t="s">
        <v>52</v>
      </c>
      <c r="H40" t="s">
        <v>108</v>
      </c>
      <c r="I40" t="s">
        <v>109</v>
      </c>
      <c r="J40" t="str">
        <f>CONCATENATE("081211","")</f>
        <v>081211</v>
      </c>
      <c r="K40" t="s">
        <v>22</v>
      </c>
      <c r="L40" t="s">
        <v>23</v>
      </c>
      <c r="M40" t="str">
        <f t="shared" si="8"/>
        <v>1</v>
      </c>
      <c r="O40" t="str">
        <f>CONCATENATE("1 ","")</f>
        <v xml:space="preserve">1 </v>
      </c>
      <c r="P40">
        <v>345.2</v>
      </c>
      <c r="Q40" t="s">
        <v>24</v>
      </c>
    </row>
    <row r="41" spans="1:17" x14ac:dyDescent="0.25">
      <c r="A41" t="s">
        <v>17</v>
      </c>
      <c r="B41" s="1">
        <v>41718</v>
      </c>
      <c r="C41" t="s">
        <v>98</v>
      </c>
      <c r="D41" t="str">
        <f>CONCATENATE("0060016474","")</f>
        <v>0060016474</v>
      </c>
      <c r="E41" t="str">
        <f>CONCATENATE("0010806001270       ","")</f>
        <v xml:space="preserve">0010806001270       </v>
      </c>
      <c r="F41" t="str">
        <f>CONCATENATE("01781525","")</f>
        <v>01781525</v>
      </c>
      <c r="G41" t="s">
        <v>52</v>
      </c>
      <c r="H41" t="s">
        <v>110</v>
      </c>
      <c r="I41" t="s">
        <v>111</v>
      </c>
      <c r="J41" t="str">
        <f>CONCATENATE("081211","")</f>
        <v>081211</v>
      </c>
      <c r="K41" t="s">
        <v>22</v>
      </c>
      <c r="L41" t="s">
        <v>23</v>
      </c>
      <c r="M41" t="str">
        <f t="shared" si="8"/>
        <v>1</v>
      </c>
      <c r="O41" t="str">
        <f>CONCATENATE("1 ","")</f>
        <v xml:space="preserve">1 </v>
      </c>
      <c r="P41">
        <v>38.799999999999997</v>
      </c>
      <c r="Q41" t="s">
        <v>24</v>
      </c>
    </row>
    <row r="42" spans="1:17" x14ac:dyDescent="0.25">
      <c r="A42" t="s">
        <v>17</v>
      </c>
      <c r="B42" s="1">
        <v>41718</v>
      </c>
      <c r="C42" t="s">
        <v>18</v>
      </c>
      <c r="D42" t="str">
        <f>CONCATENATE("0060018698","")</f>
        <v>0060018698</v>
      </c>
      <c r="E42" t="str">
        <f>CONCATENATE("0010808000030       ","")</f>
        <v xml:space="preserve">0010808000030       </v>
      </c>
      <c r="F42" t="str">
        <f>CONCATENATE("8255369","")</f>
        <v>8255369</v>
      </c>
      <c r="G42" t="s">
        <v>112</v>
      </c>
      <c r="H42" t="s">
        <v>113</v>
      </c>
      <c r="I42" t="s">
        <v>114</v>
      </c>
      <c r="J42" t="str">
        <f t="shared" ref="J42:J49" si="9">CONCATENATE("080107","")</f>
        <v>080107</v>
      </c>
      <c r="K42" t="s">
        <v>22</v>
      </c>
      <c r="L42" t="s">
        <v>23</v>
      </c>
      <c r="M42" t="str">
        <f t="shared" si="8"/>
        <v>1</v>
      </c>
      <c r="O42" t="str">
        <f>CONCATENATE("2 ","")</f>
        <v xml:space="preserve">2 </v>
      </c>
      <c r="P42">
        <v>17.850000000000001</v>
      </c>
      <c r="Q42" t="s">
        <v>24</v>
      </c>
    </row>
    <row r="43" spans="1:17" x14ac:dyDescent="0.25">
      <c r="A43" t="s">
        <v>17</v>
      </c>
      <c r="B43" s="1">
        <v>41718</v>
      </c>
      <c r="C43" t="s">
        <v>18</v>
      </c>
      <c r="D43" t="str">
        <f>CONCATENATE("0060018688","")</f>
        <v>0060018688</v>
      </c>
      <c r="E43" t="str">
        <f>CONCATENATE("0010808000280       ","")</f>
        <v xml:space="preserve">0010808000280       </v>
      </c>
      <c r="F43" t="str">
        <f>CONCATENATE("8244373","")</f>
        <v>8244373</v>
      </c>
      <c r="G43" t="s">
        <v>112</v>
      </c>
      <c r="H43" t="s">
        <v>115</v>
      </c>
      <c r="I43" t="s">
        <v>116</v>
      </c>
      <c r="J43" t="str">
        <f t="shared" si="9"/>
        <v>080107</v>
      </c>
      <c r="K43" t="s">
        <v>22</v>
      </c>
      <c r="L43" t="s">
        <v>23</v>
      </c>
      <c r="M43" t="str">
        <f t="shared" si="8"/>
        <v>1</v>
      </c>
      <c r="O43" t="str">
        <f>CONCATENATE("1 ","")</f>
        <v xml:space="preserve">1 </v>
      </c>
      <c r="P43">
        <v>12.15</v>
      </c>
      <c r="Q43" t="s">
        <v>24</v>
      </c>
    </row>
    <row r="44" spans="1:17" x14ac:dyDescent="0.25">
      <c r="A44" t="s">
        <v>17</v>
      </c>
      <c r="B44" s="1">
        <v>41718</v>
      </c>
      <c r="C44" t="s">
        <v>18</v>
      </c>
      <c r="D44" t="str">
        <f>CONCATENATE("0060018690","")</f>
        <v>0060018690</v>
      </c>
      <c r="E44" t="str">
        <f>CONCATENATE("0010808000300       ","")</f>
        <v xml:space="preserve">0010808000300       </v>
      </c>
      <c r="F44" t="str">
        <f>CONCATENATE("8244399","")</f>
        <v>8244399</v>
      </c>
      <c r="G44" t="s">
        <v>112</v>
      </c>
      <c r="H44" t="s">
        <v>117</v>
      </c>
      <c r="I44" t="s">
        <v>116</v>
      </c>
      <c r="J44" t="str">
        <f t="shared" si="9"/>
        <v>080107</v>
      </c>
      <c r="K44" t="s">
        <v>22</v>
      </c>
      <c r="L44" t="s">
        <v>23</v>
      </c>
      <c r="M44" t="str">
        <f t="shared" si="8"/>
        <v>1</v>
      </c>
      <c r="O44" t="str">
        <f>CONCATENATE("1 ","")</f>
        <v xml:space="preserve">1 </v>
      </c>
      <c r="P44">
        <v>11.8</v>
      </c>
      <c r="Q44" t="s">
        <v>24</v>
      </c>
    </row>
    <row r="45" spans="1:17" x14ac:dyDescent="0.25">
      <c r="A45" t="s">
        <v>17</v>
      </c>
      <c r="B45" s="1">
        <v>41718</v>
      </c>
      <c r="C45" t="s">
        <v>18</v>
      </c>
      <c r="D45" t="str">
        <f>CONCATENATE("0060018674","")</f>
        <v>0060018674</v>
      </c>
      <c r="E45" t="str">
        <f>CONCATENATE("0010808000535       ","")</f>
        <v xml:space="preserve">0010808000535       </v>
      </c>
      <c r="F45" t="str">
        <f>CONCATENATE("8245303","")</f>
        <v>8245303</v>
      </c>
      <c r="G45" t="s">
        <v>112</v>
      </c>
      <c r="H45" t="s">
        <v>118</v>
      </c>
      <c r="I45" t="s">
        <v>119</v>
      </c>
      <c r="J45" t="str">
        <f t="shared" si="9"/>
        <v>080107</v>
      </c>
      <c r="K45" t="s">
        <v>22</v>
      </c>
      <c r="L45" t="s">
        <v>23</v>
      </c>
      <c r="M45" t="str">
        <f t="shared" si="8"/>
        <v>1</v>
      </c>
      <c r="O45" t="str">
        <f>CONCATENATE("1 ","")</f>
        <v xml:space="preserve">1 </v>
      </c>
      <c r="P45">
        <v>26.45</v>
      </c>
      <c r="Q45" t="s">
        <v>24</v>
      </c>
    </row>
    <row r="46" spans="1:17" x14ac:dyDescent="0.25">
      <c r="A46" t="s">
        <v>17</v>
      </c>
      <c r="B46" s="1">
        <v>41718</v>
      </c>
      <c r="C46" t="s">
        <v>18</v>
      </c>
      <c r="D46" t="str">
        <f>CONCATENATE("0060018650","")</f>
        <v>0060018650</v>
      </c>
      <c r="E46" t="str">
        <f>CONCATENATE("0010808000830       ","")</f>
        <v xml:space="preserve">0010808000830       </v>
      </c>
      <c r="F46" t="str">
        <f>CONCATENATE("8244332","")</f>
        <v>8244332</v>
      </c>
      <c r="G46" t="s">
        <v>112</v>
      </c>
      <c r="H46" t="s">
        <v>120</v>
      </c>
      <c r="I46" t="s">
        <v>121</v>
      </c>
      <c r="J46" t="str">
        <f t="shared" si="9"/>
        <v>080107</v>
      </c>
      <c r="K46" t="s">
        <v>22</v>
      </c>
      <c r="L46" t="s">
        <v>23</v>
      </c>
      <c r="M46" t="str">
        <f t="shared" si="8"/>
        <v>1</v>
      </c>
      <c r="O46" t="str">
        <f>CONCATENATE("1 ","")</f>
        <v xml:space="preserve">1 </v>
      </c>
      <c r="P46">
        <v>11.35</v>
      </c>
      <c r="Q46" t="s">
        <v>24</v>
      </c>
    </row>
    <row r="47" spans="1:17" x14ac:dyDescent="0.25">
      <c r="A47" t="s">
        <v>17</v>
      </c>
      <c r="B47" s="1">
        <v>41718</v>
      </c>
      <c r="C47" t="s">
        <v>18</v>
      </c>
      <c r="D47" t="str">
        <f>CONCATENATE("0060018627","")</f>
        <v>0060018627</v>
      </c>
      <c r="E47" t="str">
        <f>CONCATENATE("0010808000900       ","")</f>
        <v xml:space="preserve">0010808000900       </v>
      </c>
      <c r="F47" t="str">
        <f>CONCATENATE("8245215","")</f>
        <v>8245215</v>
      </c>
      <c r="G47" t="s">
        <v>112</v>
      </c>
      <c r="H47" t="s">
        <v>122</v>
      </c>
      <c r="I47" t="s">
        <v>123</v>
      </c>
      <c r="J47" t="str">
        <f t="shared" si="9"/>
        <v>080107</v>
      </c>
      <c r="K47" t="s">
        <v>22</v>
      </c>
      <c r="L47" t="s">
        <v>23</v>
      </c>
      <c r="M47" t="str">
        <f t="shared" si="8"/>
        <v>1</v>
      </c>
      <c r="O47" t="str">
        <f>CONCATENATE("1 ","")</f>
        <v xml:space="preserve">1 </v>
      </c>
      <c r="P47">
        <v>34.9</v>
      </c>
      <c r="Q47" t="s">
        <v>24</v>
      </c>
    </row>
    <row r="48" spans="1:17" x14ac:dyDescent="0.25">
      <c r="A48" t="s">
        <v>17</v>
      </c>
      <c r="B48" s="1">
        <v>41718</v>
      </c>
      <c r="C48" t="s">
        <v>18</v>
      </c>
      <c r="D48" t="str">
        <f>CONCATENATE("0060018628","")</f>
        <v>0060018628</v>
      </c>
      <c r="E48" t="str">
        <f>CONCATENATE("0010808000910       ","")</f>
        <v xml:space="preserve">0010808000910       </v>
      </c>
      <c r="F48" t="str">
        <f>CONCATENATE("8245216","")</f>
        <v>8245216</v>
      </c>
      <c r="G48" t="s">
        <v>112</v>
      </c>
      <c r="H48" t="s">
        <v>124</v>
      </c>
      <c r="I48" t="s">
        <v>123</v>
      </c>
      <c r="J48" t="str">
        <f t="shared" si="9"/>
        <v>080107</v>
      </c>
      <c r="K48" t="s">
        <v>22</v>
      </c>
      <c r="L48" t="s">
        <v>23</v>
      </c>
      <c r="M48" t="str">
        <f t="shared" si="8"/>
        <v>1</v>
      </c>
      <c r="O48" t="str">
        <f>CONCATENATE("4 ","")</f>
        <v xml:space="preserve">4 </v>
      </c>
      <c r="P48">
        <v>44.9</v>
      </c>
      <c r="Q48" t="s">
        <v>24</v>
      </c>
    </row>
    <row r="49" spans="1:17" x14ac:dyDescent="0.25">
      <c r="A49" t="s">
        <v>17</v>
      </c>
      <c r="B49" s="1">
        <v>41718</v>
      </c>
      <c r="C49" t="s">
        <v>18</v>
      </c>
      <c r="D49" t="str">
        <f>CONCATENATE("0060019082","")</f>
        <v>0060019082</v>
      </c>
      <c r="E49" t="str">
        <f>CONCATENATE("0010810000760       ","")</f>
        <v xml:space="preserve">0010810000760       </v>
      </c>
      <c r="F49" t="str">
        <f>CONCATENATE("1680214","")</f>
        <v>1680214</v>
      </c>
      <c r="G49" t="s">
        <v>87</v>
      </c>
      <c r="H49" t="s">
        <v>125</v>
      </c>
      <c r="I49" t="s">
        <v>126</v>
      </c>
      <c r="J49" t="str">
        <f t="shared" si="9"/>
        <v>080107</v>
      </c>
      <c r="K49" t="s">
        <v>22</v>
      </c>
      <c r="L49" t="s">
        <v>23</v>
      </c>
      <c r="M49" t="str">
        <f>CONCATENATE("3","")</f>
        <v>3</v>
      </c>
      <c r="O49" t="str">
        <f t="shared" ref="O49:O87" si="10">CONCATENATE("1 ","")</f>
        <v xml:space="preserve">1 </v>
      </c>
      <c r="P49">
        <v>697.6</v>
      </c>
      <c r="Q49" t="s">
        <v>28</v>
      </c>
    </row>
    <row r="50" spans="1:17" x14ac:dyDescent="0.25">
      <c r="A50" t="s">
        <v>17</v>
      </c>
      <c r="B50" s="1">
        <v>41718</v>
      </c>
      <c r="C50" t="s">
        <v>127</v>
      </c>
      <c r="D50" t="str">
        <f>CONCATENATE("0060000364","")</f>
        <v>0060000364</v>
      </c>
      <c r="E50" t="str">
        <f>CONCATENATE("0110201000160       ","")</f>
        <v xml:space="preserve">0110201000160       </v>
      </c>
      <c r="F50" t="str">
        <f>CONCATENATE("2150721","")</f>
        <v>2150721</v>
      </c>
      <c r="G50" t="s">
        <v>128</v>
      </c>
      <c r="H50" t="s">
        <v>129</v>
      </c>
      <c r="I50" t="str">
        <f>CONCATENATE("28-DE-JULIO-S-N---CAYCAY","")</f>
        <v>28-DE-JULIO-S-N---CAYCAY</v>
      </c>
      <c r="J50" t="str">
        <f>CONCATENATE("081102","")</f>
        <v>081102</v>
      </c>
      <c r="K50" t="s">
        <v>22</v>
      </c>
      <c r="L50" t="s">
        <v>23</v>
      </c>
      <c r="M50" t="str">
        <f t="shared" ref="M50:M76" si="11">CONCATENATE("1","")</f>
        <v>1</v>
      </c>
      <c r="O50" t="str">
        <f t="shared" si="10"/>
        <v xml:space="preserve">1 </v>
      </c>
      <c r="P50">
        <v>18</v>
      </c>
      <c r="Q50" t="s">
        <v>24</v>
      </c>
    </row>
    <row r="51" spans="1:17" x14ac:dyDescent="0.25">
      <c r="A51" t="s">
        <v>17</v>
      </c>
      <c r="B51" s="1">
        <v>41718</v>
      </c>
      <c r="C51" t="s">
        <v>127</v>
      </c>
      <c r="D51" t="str">
        <f>CONCATENATE("0060000372","")</f>
        <v>0060000372</v>
      </c>
      <c r="E51" t="str">
        <f>CONCATENATE("0110201000240       ","")</f>
        <v xml:space="preserve">0110201000240       </v>
      </c>
      <c r="F51" t="str">
        <f>CONCATENATE("2124923","")</f>
        <v>2124923</v>
      </c>
      <c r="G51" t="s">
        <v>128</v>
      </c>
      <c r="H51" t="s">
        <v>130</v>
      </c>
      <c r="I51" t="str">
        <f>CONCATENATE("28-DE-JULIO-S-N","")</f>
        <v>28-DE-JULIO-S-N</v>
      </c>
      <c r="J51" t="str">
        <f>CONCATENATE("081102","")</f>
        <v>081102</v>
      </c>
      <c r="K51" t="s">
        <v>22</v>
      </c>
      <c r="L51" t="s">
        <v>23</v>
      </c>
      <c r="M51" t="str">
        <f t="shared" si="11"/>
        <v>1</v>
      </c>
      <c r="O51" t="str">
        <f t="shared" si="10"/>
        <v xml:space="preserve">1 </v>
      </c>
      <c r="P51">
        <v>11.4</v>
      </c>
      <c r="Q51" t="s">
        <v>24</v>
      </c>
    </row>
    <row r="52" spans="1:17" x14ac:dyDescent="0.25">
      <c r="A52" t="s">
        <v>17</v>
      </c>
      <c r="B52" s="1">
        <v>41718</v>
      </c>
      <c r="C52" t="s">
        <v>131</v>
      </c>
      <c r="D52" t="str">
        <f>CONCATENATE("0060000434","")</f>
        <v>0060000434</v>
      </c>
      <c r="E52" t="str">
        <f>CONCATENATE("0110202000250       ","")</f>
        <v xml:space="preserve">0110202000250       </v>
      </c>
      <c r="F52" t="str">
        <f>CONCATENATE("605054040","")</f>
        <v>605054040</v>
      </c>
      <c r="G52" t="s">
        <v>132</v>
      </c>
      <c r="H52" t="s">
        <v>133</v>
      </c>
      <c r="I52" t="s">
        <v>134</v>
      </c>
      <c r="J52" t="str">
        <f>CONCATENATE("081101","")</f>
        <v>081101</v>
      </c>
      <c r="K52" t="s">
        <v>22</v>
      </c>
      <c r="L52" t="s">
        <v>23</v>
      </c>
      <c r="M52" t="str">
        <f t="shared" si="11"/>
        <v>1</v>
      </c>
      <c r="O52" t="str">
        <f t="shared" si="10"/>
        <v xml:space="preserve">1 </v>
      </c>
      <c r="P52">
        <v>12.5</v>
      </c>
      <c r="Q52" t="s">
        <v>24</v>
      </c>
    </row>
    <row r="53" spans="1:17" x14ac:dyDescent="0.25">
      <c r="A53" t="s">
        <v>17</v>
      </c>
      <c r="B53" s="1">
        <v>41718</v>
      </c>
      <c r="C53" t="s">
        <v>127</v>
      </c>
      <c r="D53" t="str">
        <f>CONCATENATE("0060011876","")</f>
        <v>0060011876</v>
      </c>
      <c r="E53" t="str">
        <f>CONCATENATE("0110203000130       ","")</f>
        <v xml:space="preserve">0110203000130       </v>
      </c>
      <c r="F53" t="str">
        <f>CONCATENATE("605750890","")</f>
        <v>605750890</v>
      </c>
      <c r="G53" t="s">
        <v>135</v>
      </c>
      <c r="H53" t="s">
        <v>136</v>
      </c>
      <c r="I53" t="s">
        <v>137</v>
      </c>
      <c r="J53" t="str">
        <f>CONCATENATE("081102","")</f>
        <v>081102</v>
      </c>
      <c r="K53" t="s">
        <v>22</v>
      </c>
      <c r="L53" t="s">
        <v>23</v>
      </c>
      <c r="M53" t="str">
        <f t="shared" si="11"/>
        <v>1</v>
      </c>
      <c r="O53" t="str">
        <f t="shared" si="10"/>
        <v xml:space="preserve">1 </v>
      </c>
      <c r="P53">
        <v>10.5</v>
      </c>
      <c r="Q53" t="s">
        <v>24</v>
      </c>
    </row>
    <row r="54" spans="1:17" x14ac:dyDescent="0.25">
      <c r="A54" t="s">
        <v>17</v>
      </c>
      <c r="B54" s="1">
        <v>41718</v>
      </c>
      <c r="C54" t="s">
        <v>127</v>
      </c>
      <c r="D54" t="str">
        <f>CONCATENATE("0060011853","")</f>
        <v>0060011853</v>
      </c>
      <c r="E54" t="str">
        <f>CONCATENATE("0110203000280       ","")</f>
        <v xml:space="preserve">0110203000280       </v>
      </c>
      <c r="F54" t="str">
        <f>CONCATENATE("605113918","")</f>
        <v>605113918</v>
      </c>
      <c r="G54" t="s">
        <v>135</v>
      </c>
      <c r="H54" t="s">
        <v>138</v>
      </c>
      <c r="I54" t="s">
        <v>137</v>
      </c>
      <c r="J54" t="str">
        <f>CONCATENATE("081102","")</f>
        <v>081102</v>
      </c>
      <c r="K54" t="s">
        <v>22</v>
      </c>
      <c r="L54" t="s">
        <v>23</v>
      </c>
      <c r="M54" t="str">
        <f t="shared" si="11"/>
        <v>1</v>
      </c>
      <c r="O54" t="str">
        <f t="shared" si="10"/>
        <v xml:space="preserve">1 </v>
      </c>
      <c r="P54">
        <v>58.4</v>
      </c>
      <c r="Q54" t="s">
        <v>24</v>
      </c>
    </row>
    <row r="55" spans="1:17" x14ac:dyDescent="0.25">
      <c r="A55" t="s">
        <v>17</v>
      </c>
      <c r="B55" s="1">
        <v>41718</v>
      </c>
      <c r="C55" t="s">
        <v>127</v>
      </c>
      <c r="D55" t="str">
        <f>CONCATENATE("0060011877","")</f>
        <v>0060011877</v>
      </c>
      <c r="E55" t="str">
        <f>CONCATENATE("0110203000300       ","")</f>
        <v xml:space="preserve">0110203000300       </v>
      </c>
      <c r="F55" t="str">
        <f>CONCATENATE("605113913","")</f>
        <v>605113913</v>
      </c>
      <c r="G55" t="s">
        <v>135</v>
      </c>
      <c r="H55" t="s">
        <v>139</v>
      </c>
      <c r="I55" t="s">
        <v>137</v>
      </c>
      <c r="J55" t="str">
        <f>CONCATENATE("081102","")</f>
        <v>081102</v>
      </c>
      <c r="K55" t="s">
        <v>22</v>
      </c>
      <c r="L55" t="s">
        <v>23</v>
      </c>
      <c r="M55" t="str">
        <f t="shared" si="11"/>
        <v>1</v>
      </c>
      <c r="O55" t="str">
        <f t="shared" si="10"/>
        <v xml:space="preserve">1 </v>
      </c>
      <c r="P55">
        <v>32.65</v>
      </c>
      <c r="Q55" t="s">
        <v>24</v>
      </c>
    </row>
    <row r="56" spans="1:17" x14ac:dyDescent="0.25">
      <c r="A56" t="s">
        <v>17</v>
      </c>
      <c r="B56" s="1">
        <v>41718</v>
      </c>
      <c r="C56" t="s">
        <v>140</v>
      </c>
      <c r="D56" t="str">
        <f>CONCATENATE("0060018327","")</f>
        <v>0060018327</v>
      </c>
      <c r="E56" t="str">
        <f>CONCATENATE("0120101000019       ","")</f>
        <v xml:space="preserve">0120101000019       </v>
      </c>
      <c r="F56" t="str">
        <f>CONCATENATE("2187754","")</f>
        <v>2187754</v>
      </c>
      <c r="G56" t="s">
        <v>141</v>
      </c>
      <c r="H56" t="s">
        <v>142</v>
      </c>
      <c r="I56" t="s">
        <v>143</v>
      </c>
      <c r="J56" t="str">
        <f t="shared" ref="J56:J87" si="12">CONCATENATE("081201","")</f>
        <v>081201</v>
      </c>
      <c r="K56" t="s">
        <v>22</v>
      </c>
      <c r="L56" t="s">
        <v>23</v>
      </c>
      <c r="M56" t="str">
        <f t="shared" si="11"/>
        <v>1</v>
      </c>
      <c r="O56" t="str">
        <f t="shared" si="10"/>
        <v xml:space="preserve">1 </v>
      </c>
      <c r="P56">
        <v>18.850000000000001</v>
      </c>
      <c r="Q56" t="s">
        <v>24</v>
      </c>
    </row>
    <row r="57" spans="1:17" x14ac:dyDescent="0.25">
      <c r="A57" t="s">
        <v>17</v>
      </c>
      <c r="B57" s="1">
        <v>41718</v>
      </c>
      <c r="C57" t="s">
        <v>140</v>
      </c>
      <c r="D57" t="str">
        <f>CONCATENATE("0060000490","")</f>
        <v>0060000490</v>
      </c>
      <c r="E57" t="str">
        <f>CONCATENATE("0120101000140       ","")</f>
        <v xml:space="preserve">0120101000140       </v>
      </c>
      <c r="F57" t="str">
        <f>CONCATENATE("2173506","")</f>
        <v>2173506</v>
      </c>
      <c r="G57" t="s">
        <v>141</v>
      </c>
      <c r="H57" t="s">
        <v>144</v>
      </c>
      <c r="I57" t="s">
        <v>145</v>
      </c>
      <c r="J57" t="str">
        <f t="shared" si="12"/>
        <v>081201</v>
      </c>
      <c r="K57" t="s">
        <v>22</v>
      </c>
      <c r="L57" t="s">
        <v>23</v>
      </c>
      <c r="M57" t="str">
        <f t="shared" si="11"/>
        <v>1</v>
      </c>
      <c r="O57" t="str">
        <f t="shared" si="10"/>
        <v xml:space="preserve">1 </v>
      </c>
      <c r="P57">
        <v>308.5</v>
      </c>
      <c r="Q57" t="s">
        <v>24</v>
      </c>
    </row>
    <row r="58" spans="1:17" x14ac:dyDescent="0.25">
      <c r="A58" t="s">
        <v>17</v>
      </c>
      <c r="B58" s="1">
        <v>41718</v>
      </c>
      <c r="C58" t="s">
        <v>140</v>
      </c>
      <c r="D58" t="str">
        <f>CONCATENATE("0060008936","")</f>
        <v>0060008936</v>
      </c>
      <c r="E58" t="str">
        <f>CONCATENATE("0120101000165       ","")</f>
        <v xml:space="preserve">0120101000165       </v>
      </c>
      <c r="F58" t="str">
        <f>CONCATENATE("2558508","")</f>
        <v>2558508</v>
      </c>
      <c r="G58" t="s">
        <v>141</v>
      </c>
      <c r="H58" t="s">
        <v>146</v>
      </c>
      <c r="I58" t="s">
        <v>147</v>
      </c>
      <c r="J58" t="str">
        <f t="shared" si="12"/>
        <v>081201</v>
      </c>
      <c r="K58" t="s">
        <v>22</v>
      </c>
      <c r="L58" t="s">
        <v>23</v>
      </c>
      <c r="M58" t="str">
        <f t="shared" si="11"/>
        <v>1</v>
      </c>
      <c r="O58" t="str">
        <f t="shared" si="10"/>
        <v xml:space="preserve">1 </v>
      </c>
      <c r="P58">
        <v>92.5</v>
      </c>
      <c r="Q58" t="s">
        <v>24</v>
      </c>
    </row>
    <row r="59" spans="1:17" x14ac:dyDescent="0.25">
      <c r="A59" t="s">
        <v>17</v>
      </c>
      <c r="B59" s="1">
        <v>41718</v>
      </c>
      <c r="C59" t="s">
        <v>140</v>
      </c>
      <c r="D59" t="str">
        <f>CONCATENATE("0060000503","")</f>
        <v>0060000503</v>
      </c>
      <c r="E59" t="str">
        <f>CONCATENATE("0120101000230       ","")</f>
        <v xml:space="preserve">0120101000230       </v>
      </c>
      <c r="F59" t="str">
        <f>CONCATENATE("1079936","")</f>
        <v>1079936</v>
      </c>
      <c r="G59" t="s">
        <v>148</v>
      </c>
      <c r="H59" t="s">
        <v>149</v>
      </c>
      <c r="I59" t="s">
        <v>150</v>
      </c>
      <c r="J59" t="str">
        <f t="shared" si="12"/>
        <v>081201</v>
      </c>
      <c r="K59" t="s">
        <v>22</v>
      </c>
      <c r="L59" t="s">
        <v>23</v>
      </c>
      <c r="M59" t="str">
        <f t="shared" si="11"/>
        <v>1</v>
      </c>
      <c r="O59" t="str">
        <f t="shared" si="10"/>
        <v xml:space="preserve">1 </v>
      </c>
      <c r="P59">
        <v>280.55</v>
      </c>
      <c r="Q59" t="s">
        <v>24</v>
      </c>
    </row>
    <row r="60" spans="1:17" x14ac:dyDescent="0.25">
      <c r="A60" t="s">
        <v>17</v>
      </c>
      <c r="B60" s="1">
        <v>41718</v>
      </c>
      <c r="C60" t="s">
        <v>140</v>
      </c>
      <c r="D60" t="str">
        <f>CONCATENATE("0060000521","")</f>
        <v>0060000521</v>
      </c>
      <c r="E60" t="str">
        <f>CONCATENATE("0120101000370       ","")</f>
        <v xml:space="preserve">0120101000370       </v>
      </c>
      <c r="F60" t="str">
        <f>CONCATENATE("2174868","")</f>
        <v>2174868</v>
      </c>
      <c r="G60" t="s">
        <v>141</v>
      </c>
      <c r="H60" t="s">
        <v>151</v>
      </c>
      <c r="I60" t="s">
        <v>152</v>
      </c>
      <c r="J60" t="str">
        <f t="shared" si="12"/>
        <v>081201</v>
      </c>
      <c r="K60" t="s">
        <v>22</v>
      </c>
      <c r="L60" t="s">
        <v>23</v>
      </c>
      <c r="M60" t="str">
        <f t="shared" si="11"/>
        <v>1</v>
      </c>
      <c r="O60" t="str">
        <f t="shared" si="10"/>
        <v xml:space="preserve">1 </v>
      </c>
      <c r="P60">
        <v>19.100000000000001</v>
      </c>
      <c r="Q60" t="s">
        <v>24</v>
      </c>
    </row>
    <row r="61" spans="1:17" x14ac:dyDescent="0.25">
      <c r="A61" t="s">
        <v>17</v>
      </c>
      <c r="B61" s="1">
        <v>41718</v>
      </c>
      <c r="C61" t="s">
        <v>140</v>
      </c>
      <c r="D61" t="str">
        <f>CONCATENATE("0060000532","")</f>
        <v>0060000532</v>
      </c>
      <c r="E61" t="str">
        <f>CONCATENATE("0120101000490       ","")</f>
        <v xml:space="preserve">0120101000490       </v>
      </c>
      <c r="F61" t="str">
        <f>CONCATENATE("2173501","")</f>
        <v>2173501</v>
      </c>
      <c r="G61" t="s">
        <v>148</v>
      </c>
      <c r="H61" t="s">
        <v>153</v>
      </c>
      <c r="I61" t="s">
        <v>154</v>
      </c>
      <c r="J61" t="str">
        <f t="shared" si="12"/>
        <v>081201</v>
      </c>
      <c r="K61" t="s">
        <v>22</v>
      </c>
      <c r="L61" t="s">
        <v>23</v>
      </c>
      <c r="M61" t="str">
        <f t="shared" si="11"/>
        <v>1</v>
      </c>
      <c r="O61" t="str">
        <f t="shared" si="10"/>
        <v xml:space="preserve">1 </v>
      </c>
      <c r="P61">
        <v>75.849999999999994</v>
      </c>
      <c r="Q61" t="s">
        <v>24</v>
      </c>
    </row>
    <row r="62" spans="1:17" x14ac:dyDescent="0.25">
      <c r="A62" t="s">
        <v>17</v>
      </c>
      <c r="B62" s="1">
        <v>41718</v>
      </c>
      <c r="C62" t="s">
        <v>140</v>
      </c>
      <c r="D62" t="str">
        <f>CONCATENATE("0060000560","")</f>
        <v>0060000560</v>
      </c>
      <c r="E62" t="str">
        <f>CONCATENATE("0120101000690       ","")</f>
        <v xml:space="preserve">0120101000690       </v>
      </c>
      <c r="F62" t="str">
        <f>CONCATENATE("2150742","")</f>
        <v>2150742</v>
      </c>
      <c r="G62" t="s">
        <v>148</v>
      </c>
      <c r="H62" t="s">
        <v>155</v>
      </c>
      <c r="I62" t="s">
        <v>156</v>
      </c>
      <c r="J62" t="str">
        <f t="shared" si="12"/>
        <v>081201</v>
      </c>
      <c r="K62" t="s">
        <v>22</v>
      </c>
      <c r="L62" t="s">
        <v>23</v>
      </c>
      <c r="M62" t="str">
        <f t="shared" si="11"/>
        <v>1</v>
      </c>
      <c r="O62" t="str">
        <f t="shared" si="10"/>
        <v xml:space="preserve">1 </v>
      </c>
      <c r="P62">
        <v>117.45</v>
      </c>
      <c r="Q62" t="s">
        <v>24</v>
      </c>
    </row>
    <row r="63" spans="1:17" x14ac:dyDescent="0.25">
      <c r="A63" t="s">
        <v>17</v>
      </c>
      <c r="B63" s="1">
        <v>41718</v>
      </c>
      <c r="C63" t="s">
        <v>140</v>
      </c>
      <c r="D63" t="str">
        <f>CONCATENATE("0060000644","")</f>
        <v>0060000644</v>
      </c>
      <c r="E63" t="str">
        <f>CONCATENATE("0120101001370       ","")</f>
        <v xml:space="preserve">0120101001370       </v>
      </c>
      <c r="F63" t="str">
        <f>CONCATENATE("2173668","")</f>
        <v>2173668</v>
      </c>
      <c r="G63" t="s">
        <v>148</v>
      </c>
      <c r="H63" t="s">
        <v>157</v>
      </c>
      <c r="I63" t="s">
        <v>158</v>
      </c>
      <c r="J63" t="str">
        <f t="shared" si="12"/>
        <v>081201</v>
      </c>
      <c r="K63" t="s">
        <v>22</v>
      </c>
      <c r="L63" t="s">
        <v>23</v>
      </c>
      <c r="M63" t="str">
        <f t="shared" si="11"/>
        <v>1</v>
      </c>
      <c r="O63" t="str">
        <f t="shared" si="10"/>
        <v xml:space="preserve">1 </v>
      </c>
      <c r="P63">
        <v>42.5</v>
      </c>
      <c r="Q63" t="s">
        <v>24</v>
      </c>
    </row>
    <row r="64" spans="1:17" x14ac:dyDescent="0.25">
      <c r="A64" t="s">
        <v>17</v>
      </c>
      <c r="B64" s="1">
        <v>41718</v>
      </c>
      <c r="C64" t="s">
        <v>140</v>
      </c>
      <c r="D64" t="str">
        <f>CONCATENATE("0060000647","")</f>
        <v>0060000647</v>
      </c>
      <c r="E64" t="str">
        <f>CONCATENATE("0120101001385       ","")</f>
        <v xml:space="preserve">0120101001385       </v>
      </c>
      <c r="F64" t="str">
        <f>CONCATENATE("605116650","")</f>
        <v>605116650</v>
      </c>
      <c r="G64" t="s">
        <v>148</v>
      </c>
      <c r="H64" t="s">
        <v>159</v>
      </c>
      <c r="I64" t="s">
        <v>160</v>
      </c>
      <c r="J64" t="str">
        <f t="shared" si="12"/>
        <v>081201</v>
      </c>
      <c r="K64" t="s">
        <v>22</v>
      </c>
      <c r="L64" t="s">
        <v>23</v>
      </c>
      <c r="M64" t="str">
        <f t="shared" si="11"/>
        <v>1</v>
      </c>
      <c r="O64" t="str">
        <f t="shared" si="10"/>
        <v xml:space="preserve">1 </v>
      </c>
      <c r="P64">
        <v>23.15</v>
      </c>
      <c r="Q64" t="s">
        <v>24</v>
      </c>
    </row>
    <row r="65" spans="1:17" x14ac:dyDescent="0.25">
      <c r="A65" t="s">
        <v>17</v>
      </c>
      <c r="B65" s="1">
        <v>41718</v>
      </c>
      <c r="C65" t="s">
        <v>140</v>
      </c>
      <c r="D65" t="str">
        <f>CONCATENATE("0060000672","")</f>
        <v>0060000672</v>
      </c>
      <c r="E65" t="str">
        <f>CONCATENATE("0120101001580       ","")</f>
        <v xml:space="preserve">0120101001580       </v>
      </c>
      <c r="F65" t="str">
        <f>CONCATENATE("2150757","")</f>
        <v>2150757</v>
      </c>
      <c r="G65" t="s">
        <v>148</v>
      </c>
      <c r="H65" t="s">
        <v>161</v>
      </c>
      <c r="I65" t="s">
        <v>162</v>
      </c>
      <c r="J65" t="str">
        <f t="shared" si="12"/>
        <v>081201</v>
      </c>
      <c r="K65" t="s">
        <v>22</v>
      </c>
      <c r="L65" t="s">
        <v>23</v>
      </c>
      <c r="M65" t="str">
        <f t="shared" si="11"/>
        <v>1</v>
      </c>
      <c r="O65" t="str">
        <f t="shared" si="10"/>
        <v xml:space="preserve">1 </v>
      </c>
      <c r="P65">
        <v>156.5</v>
      </c>
      <c r="Q65" t="s">
        <v>24</v>
      </c>
    </row>
    <row r="66" spans="1:17" x14ac:dyDescent="0.25">
      <c r="A66" t="s">
        <v>17</v>
      </c>
      <c r="B66" s="1">
        <v>41718</v>
      </c>
      <c r="C66" t="s">
        <v>140</v>
      </c>
      <c r="D66" t="str">
        <f>CONCATENATE("0060000679","")</f>
        <v>0060000679</v>
      </c>
      <c r="E66" t="str">
        <f>CONCATENATE("0120101001640       ","")</f>
        <v xml:space="preserve">0120101001640       </v>
      </c>
      <c r="F66" t="str">
        <f>CONCATENATE("1861109","")</f>
        <v>1861109</v>
      </c>
      <c r="G66" t="s">
        <v>148</v>
      </c>
      <c r="H66" t="s">
        <v>163</v>
      </c>
      <c r="I66" t="s">
        <v>164</v>
      </c>
      <c r="J66" t="str">
        <f t="shared" si="12"/>
        <v>081201</v>
      </c>
      <c r="K66" t="s">
        <v>22</v>
      </c>
      <c r="L66" t="s">
        <v>23</v>
      </c>
      <c r="M66" t="str">
        <f t="shared" si="11"/>
        <v>1</v>
      </c>
      <c r="O66" t="str">
        <f t="shared" si="10"/>
        <v xml:space="preserve">1 </v>
      </c>
      <c r="P66">
        <v>316.75</v>
      </c>
      <c r="Q66" t="s">
        <v>24</v>
      </c>
    </row>
    <row r="67" spans="1:17" x14ac:dyDescent="0.25">
      <c r="A67" t="s">
        <v>17</v>
      </c>
      <c r="B67" s="1">
        <v>41718</v>
      </c>
      <c r="C67" t="s">
        <v>140</v>
      </c>
      <c r="D67" t="str">
        <f>CONCATENATE("0060000730","")</f>
        <v>0060000730</v>
      </c>
      <c r="E67" t="str">
        <f>CONCATENATE("0120101001985       ","")</f>
        <v xml:space="preserve">0120101001985       </v>
      </c>
      <c r="F67" t="str">
        <f>CONCATENATE("606591045","")</f>
        <v>606591045</v>
      </c>
      <c r="G67" t="s">
        <v>148</v>
      </c>
      <c r="H67" t="s">
        <v>165</v>
      </c>
      <c r="I67" t="s">
        <v>166</v>
      </c>
      <c r="J67" t="str">
        <f t="shared" si="12"/>
        <v>081201</v>
      </c>
      <c r="K67" t="s">
        <v>22</v>
      </c>
      <c r="L67" t="s">
        <v>23</v>
      </c>
      <c r="M67" t="str">
        <f t="shared" si="11"/>
        <v>1</v>
      </c>
      <c r="O67" t="str">
        <f t="shared" si="10"/>
        <v xml:space="preserve">1 </v>
      </c>
      <c r="P67">
        <v>94.3</v>
      </c>
      <c r="Q67" t="s">
        <v>24</v>
      </c>
    </row>
    <row r="68" spans="1:17" x14ac:dyDescent="0.25">
      <c r="A68" t="s">
        <v>17</v>
      </c>
      <c r="B68" s="1">
        <v>41718</v>
      </c>
      <c r="C68" t="s">
        <v>140</v>
      </c>
      <c r="D68" t="str">
        <f>CONCATENATE("0060000732","")</f>
        <v>0060000732</v>
      </c>
      <c r="E68" t="str">
        <f>CONCATENATE("0120101001995       ","")</f>
        <v xml:space="preserve">0120101001995       </v>
      </c>
      <c r="F68" t="str">
        <f>CONCATENATE("2126476","")</f>
        <v>2126476</v>
      </c>
      <c r="G68" t="s">
        <v>148</v>
      </c>
      <c r="H68" t="s">
        <v>167</v>
      </c>
      <c r="I68" t="s">
        <v>168</v>
      </c>
      <c r="J68" t="str">
        <f t="shared" si="12"/>
        <v>081201</v>
      </c>
      <c r="K68" t="s">
        <v>22</v>
      </c>
      <c r="L68" t="s">
        <v>23</v>
      </c>
      <c r="M68" t="str">
        <f t="shared" si="11"/>
        <v>1</v>
      </c>
      <c r="O68" t="str">
        <f t="shared" si="10"/>
        <v xml:space="preserve">1 </v>
      </c>
      <c r="P68">
        <v>46.3</v>
      </c>
      <c r="Q68" t="s">
        <v>24</v>
      </c>
    </row>
    <row r="69" spans="1:17" x14ac:dyDescent="0.25">
      <c r="A69" t="s">
        <v>17</v>
      </c>
      <c r="B69" s="1">
        <v>41718</v>
      </c>
      <c r="C69" t="s">
        <v>140</v>
      </c>
      <c r="D69" t="str">
        <f>CONCATENATE("0060000748","")</f>
        <v>0060000748</v>
      </c>
      <c r="E69" t="str">
        <f>CONCATENATE("0120101003030       ","")</f>
        <v xml:space="preserve">0120101003030       </v>
      </c>
      <c r="F69" t="str">
        <f>CONCATENATE("1868763","")</f>
        <v>1868763</v>
      </c>
      <c r="G69" t="s">
        <v>141</v>
      </c>
      <c r="H69" t="s">
        <v>169</v>
      </c>
      <c r="I69" t="s">
        <v>170</v>
      </c>
      <c r="J69" t="str">
        <f t="shared" si="12"/>
        <v>081201</v>
      </c>
      <c r="K69" t="s">
        <v>22</v>
      </c>
      <c r="L69" t="s">
        <v>23</v>
      </c>
      <c r="M69" t="str">
        <f t="shared" si="11"/>
        <v>1</v>
      </c>
      <c r="O69" t="str">
        <f t="shared" si="10"/>
        <v xml:space="preserve">1 </v>
      </c>
      <c r="P69">
        <v>84.8</v>
      </c>
      <c r="Q69" t="s">
        <v>24</v>
      </c>
    </row>
    <row r="70" spans="1:17" x14ac:dyDescent="0.25">
      <c r="A70" t="s">
        <v>17</v>
      </c>
      <c r="B70" s="1">
        <v>41718</v>
      </c>
      <c r="C70" t="s">
        <v>140</v>
      </c>
      <c r="D70" t="str">
        <f>CONCATENATE("0060001486","")</f>
        <v>0060001486</v>
      </c>
      <c r="E70" t="str">
        <f>CONCATENATE("0120101003130       ","")</f>
        <v xml:space="preserve">0120101003130       </v>
      </c>
      <c r="F70" t="str">
        <f>CONCATENATE("6951058","")</f>
        <v>6951058</v>
      </c>
      <c r="G70" t="s">
        <v>148</v>
      </c>
      <c r="H70" t="s">
        <v>171</v>
      </c>
      <c r="I70" t="s">
        <v>172</v>
      </c>
      <c r="J70" t="str">
        <f t="shared" si="12"/>
        <v>081201</v>
      </c>
      <c r="K70" t="s">
        <v>22</v>
      </c>
      <c r="L70" t="s">
        <v>23</v>
      </c>
      <c r="M70" t="str">
        <f t="shared" si="11"/>
        <v>1</v>
      </c>
      <c r="O70" t="str">
        <f t="shared" si="10"/>
        <v xml:space="preserve">1 </v>
      </c>
      <c r="P70">
        <v>16.7</v>
      </c>
      <c r="Q70" t="s">
        <v>24</v>
      </c>
    </row>
    <row r="71" spans="1:17" x14ac:dyDescent="0.25">
      <c r="A71" t="s">
        <v>17</v>
      </c>
      <c r="B71" s="1">
        <v>41718</v>
      </c>
      <c r="C71" t="s">
        <v>140</v>
      </c>
      <c r="D71" t="str">
        <f>CONCATENATE("0060001491","")</f>
        <v>0060001491</v>
      </c>
      <c r="E71" t="str">
        <f>CONCATENATE("0120101003180       ","")</f>
        <v xml:space="preserve">0120101003180       </v>
      </c>
      <c r="F71" t="str">
        <f>CONCATENATE("2126470","")</f>
        <v>2126470</v>
      </c>
      <c r="G71" t="s">
        <v>148</v>
      </c>
      <c r="H71" t="s">
        <v>173</v>
      </c>
      <c r="I71" t="s">
        <v>174</v>
      </c>
      <c r="J71" t="str">
        <f t="shared" si="12"/>
        <v>081201</v>
      </c>
      <c r="K71" t="s">
        <v>22</v>
      </c>
      <c r="L71" t="s">
        <v>23</v>
      </c>
      <c r="M71" t="str">
        <f t="shared" si="11"/>
        <v>1</v>
      </c>
      <c r="O71" t="str">
        <f t="shared" si="10"/>
        <v xml:space="preserve">1 </v>
      </c>
      <c r="P71">
        <v>60.15</v>
      </c>
      <c r="Q71" t="s">
        <v>24</v>
      </c>
    </row>
    <row r="72" spans="1:17" x14ac:dyDescent="0.25">
      <c r="A72" t="s">
        <v>17</v>
      </c>
      <c r="B72" s="1">
        <v>41718</v>
      </c>
      <c r="C72" t="s">
        <v>140</v>
      </c>
      <c r="D72" t="str">
        <f>CONCATENATE("0060001497","")</f>
        <v>0060001497</v>
      </c>
      <c r="E72" t="str">
        <f>CONCATENATE("0120101003240       ","")</f>
        <v xml:space="preserve">0120101003240       </v>
      </c>
      <c r="F72" t="str">
        <f>CONCATENATE("00000003878","")</f>
        <v>00000003878</v>
      </c>
      <c r="G72" t="s">
        <v>148</v>
      </c>
      <c r="H72" t="s">
        <v>175</v>
      </c>
      <c r="I72" t="s">
        <v>176</v>
      </c>
      <c r="J72" t="str">
        <f t="shared" si="12"/>
        <v>081201</v>
      </c>
      <c r="K72" t="s">
        <v>22</v>
      </c>
      <c r="L72" t="s">
        <v>23</v>
      </c>
      <c r="M72" t="str">
        <f t="shared" si="11"/>
        <v>1</v>
      </c>
      <c r="O72" t="str">
        <f t="shared" si="10"/>
        <v xml:space="preserve">1 </v>
      </c>
      <c r="P72">
        <v>55.85</v>
      </c>
      <c r="Q72" t="s">
        <v>24</v>
      </c>
    </row>
    <row r="73" spans="1:17" x14ac:dyDescent="0.25">
      <c r="A73" t="s">
        <v>17</v>
      </c>
      <c r="B73" s="1">
        <v>41718</v>
      </c>
      <c r="C73" t="s">
        <v>140</v>
      </c>
      <c r="D73" t="str">
        <f>CONCATENATE("0060000779","")</f>
        <v>0060000779</v>
      </c>
      <c r="E73" t="str">
        <f>CONCATENATE("0120102000220       ","")</f>
        <v xml:space="preserve">0120102000220       </v>
      </c>
      <c r="F73" t="str">
        <f>CONCATENATE("2174518","")</f>
        <v>2174518</v>
      </c>
      <c r="G73" t="s">
        <v>148</v>
      </c>
      <c r="H73" t="s">
        <v>177</v>
      </c>
      <c r="I73" t="s">
        <v>178</v>
      </c>
      <c r="J73" t="str">
        <f t="shared" si="12"/>
        <v>081201</v>
      </c>
      <c r="K73" t="s">
        <v>22</v>
      </c>
      <c r="L73" t="s">
        <v>23</v>
      </c>
      <c r="M73" t="str">
        <f t="shared" si="11"/>
        <v>1</v>
      </c>
      <c r="O73" t="str">
        <f t="shared" si="10"/>
        <v xml:space="preserve">1 </v>
      </c>
      <c r="P73">
        <v>11.4</v>
      </c>
      <c r="Q73" t="s">
        <v>24</v>
      </c>
    </row>
    <row r="74" spans="1:17" x14ac:dyDescent="0.25">
      <c r="A74" t="s">
        <v>17</v>
      </c>
      <c r="B74" s="1">
        <v>41718</v>
      </c>
      <c r="C74" t="s">
        <v>140</v>
      </c>
      <c r="D74" t="str">
        <f>CONCATENATE("0060000463","")</f>
        <v>0060000463</v>
      </c>
      <c r="E74" t="str">
        <f>CONCATENATE("0120102000258       ","")</f>
        <v xml:space="preserve">0120102000258       </v>
      </c>
      <c r="F74" t="str">
        <f>CONCATENATE("605747374","")</f>
        <v>605747374</v>
      </c>
      <c r="G74" t="s">
        <v>141</v>
      </c>
      <c r="H74" t="s">
        <v>179</v>
      </c>
      <c r="I74" t="s">
        <v>180</v>
      </c>
      <c r="J74" t="str">
        <f t="shared" si="12"/>
        <v>081201</v>
      </c>
      <c r="K74" t="s">
        <v>22</v>
      </c>
      <c r="L74" t="s">
        <v>23</v>
      </c>
      <c r="M74" t="str">
        <f t="shared" si="11"/>
        <v>1</v>
      </c>
      <c r="O74" t="str">
        <f t="shared" si="10"/>
        <v xml:space="preserve">1 </v>
      </c>
      <c r="P74">
        <v>48.55</v>
      </c>
      <c r="Q74" t="s">
        <v>24</v>
      </c>
    </row>
    <row r="75" spans="1:17" x14ac:dyDescent="0.25">
      <c r="A75" t="s">
        <v>17</v>
      </c>
      <c r="B75" s="1">
        <v>41718</v>
      </c>
      <c r="C75" t="s">
        <v>140</v>
      </c>
      <c r="D75" t="str">
        <f>CONCATENATE("0060000784","")</f>
        <v>0060000784</v>
      </c>
      <c r="E75" t="str">
        <f>CONCATENATE("0120102000260       ","")</f>
        <v xml:space="preserve">0120102000260       </v>
      </c>
      <c r="F75" t="str">
        <f>CONCATENATE("2122407","")</f>
        <v>2122407</v>
      </c>
      <c r="G75" t="s">
        <v>141</v>
      </c>
      <c r="H75" t="s">
        <v>181</v>
      </c>
      <c r="I75" t="s">
        <v>182</v>
      </c>
      <c r="J75" t="str">
        <f t="shared" si="12"/>
        <v>081201</v>
      </c>
      <c r="K75" t="s">
        <v>22</v>
      </c>
      <c r="L75" t="s">
        <v>23</v>
      </c>
      <c r="M75" t="str">
        <f t="shared" si="11"/>
        <v>1</v>
      </c>
      <c r="O75" t="str">
        <f t="shared" si="10"/>
        <v xml:space="preserve">1 </v>
      </c>
      <c r="P75">
        <v>368.4</v>
      </c>
      <c r="Q75" t="s">
        <v>24</v>
      </c>
    </row>
    <row r="76" spans="1:17" x14ac:dyDescent="0.25">
      <c r="A76" t="s">
        <v>17</v>
      </c>
      <c r="B76" s="1">
        <v>41718</v>
      </c>
      <c r="C76" t="s">
        <v>140</v>
      </c>
      <c r="D76" t="str">
        <f>CONCATENATE("0060013706","")</f>
        <v>0060013706</v>
      </c>
      <c r="E76" t="str">
        <f>CONCATENATE("0120102000273       ","")</f>
        <v xml:space="preserve">0120102000273       </v>
      </c>
      <c r="F76" t="str">
        <f>CONCATENATE("605621036","")</f>
        <v>605621036</v>
      </c>
      <c r="G76" t="s">
        <v>141</v>
      </c>
      <c r="H76" t="s">
        <v>183</v>
      </c>
      <c r="I76" t="s">
        <v>184</v>
      </c>
      <c r="J76" t="str">
        <f t="shared" si="12"/>
        <v>081201</v>
      </c>
      <c r="K76" t="s">
        <v>22</v>
      </c>
      <c r="L76" t="s">
        <v>23</v>
      </c>
      <c r="M76" t="str">
        <f t="shared" si="11"/>
        <v>1</v>
      </c>
      <c r="O76" t="str">
        <f t="shared" si="10"/>
        <v xml:space="preserve">1 </v>
      </c>
      <c r="P76">
        <v>73.95</v>
      </c>
      <c r="Q76" t="s">
        <v>24</v>
      </c>
    </row>
    <row r="77" spans="1:17" x14ac:dyDescent="0.25">
      <c r="A77" t="s">
        <v>17</v>
      </c>
      <c r="B77" s="1">
        <v>41718</v>
      </c>
      <c r="C77" t="s">
        <v>140</v>
      </c>
      <c r="D77" t="str">
        <f>CONCATENATE("0060019127","")</f>
        <v>0060019127</v>
      </c>
      <c r="E77" t="str">
        <f>CONCATENATE("0120102000318       ","")</f>
        <v xml:space="preserve">0120102000318       </v>
      </c>
      <c r="F77" t="str">
        <f>CONCATENATE("1680212","")</f>
        <v>1680212</v>
      </c>
      <c r="G77" t="s">
        <v>141</v>
      </c>
      <c r="H77" t="s">
        <v>185</v>
      </c>
      <c r="I77" t="s">
        <v>186</v>
      </c>
      <c r="J77" t="str">
        <f t="shared" si="12"/>
        <v>081201</v>
      </c>
      <c r="K77" t="s">
        <v>22</v>
      </c>
      <c r="L77" t="s">
        <v>23</v>
      </c>
      <c r="M77" t="str">
        <f>CONCATENATE("3","")</f>
        <v>3</v>
      </c>
      <c r="O77" t="str">
        <f t="shared" si="10"/>
        <v xml:space="preserve">1 </v>
      </c>
      <c r="P77">
        <v>12.05</v>
      </c>
      <c r="Q77" t="s">
        <v>28</v>
      </c>
    </row>
    <row r="78" spans="1:17" x14ac:dyDescent="0.25">
      <c r="A78" t="s">
        <v>17</v>
      </c>
      <c r="B78" s="1">
        <v>41718</v>
      </c>
      <c r="C78" t="s">
        <v>140</v>
      </c>
      <c r="D78" t="str">
        <f>CONCATENATE("0060008346","")</f>
        <v>0060008346</v>
      </c>
      <c r="E78" t="str">
        <f>CONCATENATE("0120102000385       ","")</f>
        <v xml:space="preserve">0120102000385       </v>
      </c>
      <c r="F78" t="str">
        <f>CONCATENATE("01186279","")</f>
        <v>01186279</v>
      </c>
      <c r="G78" t="s">
        <v>141</v>
      </c>
      <c r="H78" t="s">
        <v>187</v>
      </c>
      <c r="I78" t="s">
        <v>188</v>
      </c>
      <c r="J78" t="str">
        <f t="shared" si="12"/>
        <v>081201</v>
      </c>
      <c r="K78" t="s">
        <v>22</v>
      </c>
      <c r="L78" t="s">
        <v>23</v>
      </c>
      <c r="M78" t="str">
        <f t="shared" ref="M78:M91" si="13">CONCATENATE("1","")</f>
        <v>1</v>
      </c>
      <c r="O78" t="str">
        <f t="shared" si="10"/>
        <v xml:space="preserve">1 </v>
      </c>
      <c r="P78">
        <v>23.3</v>
      </c>
      <c r="Q78" t="s">
        <v>24</v>
      </c>
    </row>
    <row r="79" spans="1:17" x14ac:dyDescent="0.25">
      <c r="A79" t="s">
        <v>17</v>
      </c>
      <c r="B79" s="1">
        <v>41718</v>
      </c>
      <c r="C79" t="s">
        <v>140</v>
      </c>
      <c r="D79" t="str">
        <f>CONCATENATE("0060012691","")</f>
        <v>0060012691</v>
      </c>
      <c r="E79" t="str">
        <f>CONCATENATE("0120102000623       ","")</f>
        <v xml:space="preserve">0120102000623       </v>
      </c>
      <c r="F79" t="str">
        <f>CONCATENATE("605084996","")</f>
        <v>605084996</v>
      </c>
      <c r="G79" t="s">
        <v>141</v>
      </c>
      <c r="H79" t="s">
        <v>189</v>
      </c>
      <c r="I79" t="s">
        <v>190</v>
      </c>
      <c r="J79" t="str">
        <f t="shared" si="12"/>
        <v>081201</v>
      </c>
      <c r="K79" t="s">
        <v>22</v>
      </c>
      <c r="L79" t="s">
        <v>23</v>
      </c>
      <c r="M79" t="str">
        <f t="shared" si="13"/>
        <v>1</v>
      </c>
      <c r="O79" t="str">
        <f t="shared" si="10"/>
        <v xml:space="preserve">1 </v>
      </c>
      <c r="P79">
        <v>38.950000000000003</v>
      </c>
      <c r="Q79" t="s">
        <v>24</v>
      </c>
    </row>
    <row r="80" spans="1:17" x14ac:dyDescent="0.25">
      <c r="A80" t="s">
        <v>17</v>
      </c>
      <c r="B80" s="1">
        <v>41718</v>
      </c>
      <c r="C80" t="s">
        <v>140</v>
      </c>
      <c r="D80" t="str">
        <f>CONCATENATE("0060000890","")</f>
        <v>0060000890</v>
      </c>
      <c r="E80" t="str">
        <f>CONCATENATE("0120102001040       ","")</f>
        <v xml:space="preserve">0120102001040       </v>
      </c>
      <c r="F80" t="str">
        <f>CONCATENATE("1869766","")</f>
        <v>1869766</v>
      </c>
      <c r="G80" t="s">
        <v>141</v>
      </c>
      <c r="H80" t="s">
        <v>191</v>
      </c>
      <c r="I80" t="s">
        <v>192</v>
      </c>
      <c r="J80" t="str">
        <f t="shared" si="12"/>
        <v>081201</v>
      </c>
      <c r="K80" t="s">
        <v>22</v>
      </c>
      <c r="L80" t="s">
        <v>23</v>
      </c>
      <c r="M80" t="str">
        <f t="shared" si="13"/>
        <v>1</v>
      </c>
      <c r="O80" t="str">
        <f t="shared" si="10"/>
        <v xml:space="preserve">1 </v>
      </c>
      <c r="P80">
        <v>66.349999999999994</v>
      </c>
      <c r="Q80" t="s">
        <v>24</v>
      </c>
    </row>
    <row r="81" spans="1:17" x14ac:dyDescent="0.25">
      <c r="A81" t="s">
        <v>17</v>
      </c>
      <c r="B81" s="1">
        <v>41718</v>
      </c>
      <c r="C81" t="s">
        <v>140</v>
      </c>
      <c r="D81" t="str">
        <f>CONCATENATE("0060000909","")</f>
        <v>0060000909</v>
      </c>
      <c r="E81" t="str">
        <f>CONCATENATE("0120102001230       ","")</f>
        <v xml:space="preserve">0120102001230       </v>
      </c>
      <c r="F81" t="str">
        <f>CONCATENATE("1942272","")</f>
        <v>1942272</v>
      </c>
      <c r="G81" t="s">
        <v>141</v>
      </c>
      <c r="H81" t="s">
        <v>193</v>
      </c>
      <c r="I81" t="s">
        <v>194</v>
      </c>
      <c r="J81" t="str">
        <f t="shared" si="12"/>
        <v>081201</v>
      </c>
      <c r="K81" t="s">
        <v>22</v>
      </c>
      <c r="L81" t="s">
        <v>23</v>
      </c>
      <c r="M81" t="str">
        <f t="shared" si="13"/>
        <v>1</v>
      </c>
      <c r="O81" t="str">
        <f t="shared" si="10"/>
        <v xml:space="preserve">1 </v>
      </c>
      <c r="P81">
        <v>29.2</v>
      </c>
      <c r="Q81" t="s">
        <v>24</v>
      </c>
    </row>
    <row r="82" spans="1:17" x14ac:dyDescent="0.25">
      <c r="A82" t="s">
        <v>17</v>
      </c>
      <c r="B82" s="1">
        <v>41718</v>
      </c>
      <c r="C82" t="s">
        <v>140</v>
      </c>
      <c r="D82" t="str">
        <f>CONCATENATE("0060010752","")</f>
        <v>0060010752</v>
      </c>
      <c r="E82" t="str">
        <f>CONCATENATE("0120102001243       ","")</f>
        <v xml:space="preserve">0120102001243       </v>
      </c>
      <c r="F82" t="str">
        <f>CONCATENATE("1083115","")</f>
        <v>1083115</v>
      </c>
      <c r="G82" t="s">
        <v>141</v>
      </c>
      <c r="H82" t="s">
        <v>195</v>
      </c>
      <c r="I82" t="s">
        <v>196</v>
      </c>
      <c r="J82" t="str">
        <f t="shared" si="12"/>
        <v>081201</v>
      </c>
      <c r="K82" t="s">
        <v>22</v>
      </c>
      <c r="L82" t="s">
        <v>23</v>
      </c>
      <c r="M82" t="str">
        <f t="shared" si="13"/>
        <v>1</v>
      </c>
      <c r="O82" t="str">
        <f t="shared" si="10"/>
        <v xml:space="preserve">1 </v>
      </c>
      <c r="P82">
        <v>87.65</v>
      </c>
      <c r="Q82" t="s">
        <v>24</v>
      </c>
    </row>
    <row r="83" spans="1:17" x14ac:dyDescent="0.25">
      <c r="A83" t="s">
        <v>17</v>
      </c>
      <c r="B83" s="1">
        <v>41718</v>
      </c>
      <c r="C83" t="s">
        <v>140</v>
      </c>
      <c r="D83" t="str">
        <f>CONCATENATE("0060000925","")</f>
        <v>0060000925</v>
      </c>
      <c r="E83" t="str">
        <f>CONCATENATE("0120102001298       ","")</f>
        <v xml:space="preserve">0120102001298       </v>
      </c>
      <c r="F83" t="str">
        <f>CONCATENATE("1868779","")</f>
        <v>1868779</v>
      </c>
      <c r="G83" t="s">
        <v>148</v>
      </c>
      <c r="H83" t="s">
        <v>197</v>
      </c>
      <c r="I83" t="s">
        <v>198</v>
      </c>
      <c r="J83" t="str">
        <f t="shared" si="12"/>
        <v>081201</v>
      </c>
      <c r="K83" t="s">
        <v>22</v>
      </c>
      <c r="L83" t="s">
        <v>23</v>
      </c>
      <c r="M83" t="str">
        <f t="shared" si="13"/>
        <v>1</v>
      </c>
      <c r="O83" t="str">
        <f t="shared" si="10"/>
        <v xml:space="preserve">1 </v>
      </c>
      <c r="P83">
        <v>193.15</v>
      </c>
      <c r="Q83" t="s">
        <v>24</v>
      </c>
    </row>
    <row r="84" spans="1:17" x14ac:dyDescent="0.25">
      <c r="A84" t="s">
        <v>17</v>
      </c>
      <c r="B84" s="1">
        <v>41718</v>
      </c>
      <c r="C84" t="s">
        <v>140</v>
      </c>
      <c r="D84" t="str">
        <f>CONCATENATE("0060010608","")</f>
        <v>0060010608</v>
      </c>
      <c r="E84" t="str">
        <f>CONCATENATE("0120102002090       ","")</f>
        <v xml:space="preserve">0120102002090       </v>
      </c>
      <c r="F84" t="str">
        <f>CONCATENATE("1802","")</f>
        <v>1802</v>
      </c>
      <c r="G84" t="s">
        <v>141</v>
      </c>
      <c r="H84" t="s">
        <v>199</v>
      </c>
      <c r="I84" t="s">
        <v>200</v>
      </c>
      <c r="J84" t="str">
        <f t="shared" si="12"/>
        <v>081201</v>
      </c>
      <c r="K84" t="s">
        <v>22</v>
      </c>
      <c r="L84" t="s">
        <v>23</v>
      </c>
      <c r="M84" t="str">
        <f t="shared" si="13"/>
        <v>1</v>
      </c>
      <c r="O84" t="str">
        <f t="shared" si="10"/>
        <v xml:space="preserve">1 </v>
      </c>
      <c r="P84">
        <v>15.35</v>
      </c>
      <c r="Q84" t="s">
        <v>24</v>
      </c>
    </row>
    <row r="85" spans="1:17" x14ac:dyDescent="0.25">
      <c r="A85" t="s">
        <v>17</v>
      </c>
      <c r="B85" s="1">
        <v>41718</v>
      </c>
      <c r="C85" t="s">
        <v>140</v>
      </c>
      <c r="D85" t="str">
        <f>CONCATENATE("0060000939","")</f>
        <v>0060000939</v>
      </c>
      <c r="E85" t="str">
        <f>CONCATENATE("0120103000080       ","")</f>
        <v xml:space="preserve">0120103000080       </v>
      </c>
      <c r="F85" t="str">
        <f>CONCATENATE("2128145","")</f>
        <v>2128145</v>
      </c>
      <c r="G85" t="s">
        <v>141</v>
      </c>
      <c r="H85" t="s">
        <v>201</v>
      </c>
      <c r="I85" t="s">
        <v>202</v>
      </c>
      <c r="J85" t="str">
        <f t="shared" si="12"/>
        <v>081201</v>
      </c>
      <c r="K85" t="s">
        <v>22</v>
      </c>
      <c r="L85" t="s">
        <v>23</v>
      </c>
      <c r="M85" t="str">
        <f t="shared" si="13"/>
        <v>1</v>
      </c>
      <c r="O85" t="str">
        <f t="shared" si="10"/>
        <v xml:space="preserve">1 </v>
      </c>
      <c r="P85">
        <v>25.4</v>
      </c>
      <c r="Q85" t="s">
        <v>24</v>
      </c>
    </row>
    <row r="86" spans="1:17" x14ac:dyDescent="0.25">
      <c r="A86" t="s">
        <v>17</v>
      </c>
      <c r="B86" s="1">
        <v>41718</v>
      </c>
      <c r="C86" t="s">
        <v>140</v>
      </c>
      <c r="D86" t="str">
        <f>CONCATENATE("0060000966","")</f>
        <v>0060000966</v>
      </c>
      <c r="E86" t="str">
        <f>CONCATENATE("0120103000260       ","")</f>
        <v xml:space="preserve">0120103000260       </v>
      </c>
      <c r="F86" t="str">
        <f>CONCATENATE("2174287","")</f>
        <v>2174287</v>
      </c>
      <c r="G86" t="s">
        <v>141</v>
      </c>
      <c r="H86" t="s">
        <v>203</v>
      </c>
      <c r="I86" t="s">
        <v>204</v>
      </c>
      <c r="J86" t="str">
        <f t="shared" si="12"/>
        <v>081201</v>
      </c>
      <c r="K86" t="s">
        <v>22</v>
      </c>
      <c r="L86" t="s">
        <v>23</v>
      </c>
      <c r="M86" t="str">
        <f t="shared" si="13"/>
        <v>1</v>
      </c>
      <c r="O86" t="str">
        <f t="shared" si="10"/>
        <v xml:space="preserve">1 </v>
      </c>
      <c r="P86">
        <v>72.650000000000006</v>
      </c>
      <c r="Q86" t="s">
        <v>24</v>
      </c>
    </row>
    <row r="87" spans="1:17" x14ac:dyDescent="0.25">
      <c r="A87" t="s">
        <v>17</v>
      </c>
      <c r="B87" s="1">
        <v>41718</v>
      </c>
      <c r="C87" t="s">
        <v>140</v>
      </c>
      <c r="D87" t="str">
        <f>CONCATENATE("0060012154","")</f>
        <v>0060012154</v>
      </c>
      <c r="E87" t="str">
        <f>CONCATENATE("0120103000656       ","")</f>
        <v xml:space="preserve">0120103000656       </v>
      </c>
      <c r="F87" t="str">
        <f>CONCATENATE("605115227","")</f>
        <v>605115227</v>
      </c>
      <c r="G87" t="s">
        <v>205</v>
      </c>
      <c r="H87" t="s">
        <v>206</v>
      </c>
      <c r="I87" t="s">
        <v>207</v>
      </c>
      <c r="J87" t="str">
        <f t="shared" si="12"/>
        <v>081201</v>
      </c>
      <c r="K87" t="s">
        <v>22</v>
      </c>
      <c r="L87" t="s">
        <v>23</v>
      </c>
      <c r="M87" t="str">
        <f t="shared" si="13"/>
        <v>1</v>
      </c>
      <c r="O87" t="str">
        <f t="shared" si="10"/>
        <v xml:space="preserve">1 </v>
      </c>
      <c r="P87">
        <v>31.95</v>
      </c>
      <c r="Q87" t="s">
        <v>24</v>
      </c>
    </row>
    <row r="88" spans="1:17" x14ac:dyDescent="0.25">
      <c r="A88" t="s">
        <v>17</v>
      </c>
      <c r="B88" s="1">
        <v>41718</v>
      </c>
      <c r="C88" t="s">
        <v>140</v>
      </c>
      <c r="D88" t="str">
        <f>CONCATENATE("0060001147","")</f>
        <v>0060001147</v>
      </c>
      <c r="E88" t="str">
        <f>CONCATENATE("0120103001291       ","")</f>
        <v xml:space="preserve">0120103001291       </v>
      </c>
      <c r="F88" t="str">
        <f>CONCATENATE("1099970","")</f>
        <v>1099970</v>
      </c>
      <c r="G88" t="s">
        <v>205</v>
      </c>
      <c r="H88" t="s">
        <v>208</v>
      </c>
      <c r="I88" t="s">
        <v>209</v>
      </c>
      <c r="J88" t="str">
        <f t="shared" ref="J88:J124" si="14">CONCATENATE("081201","")</f>
        <v>081201</v>
      </c>
      <c r="K88" t="s">
        <v>22</v>
      </c>
      <c r="L88" t="s">
        <v>23</v>
      </c>
      <c r="M88" t="str">
        <f t="shared" si="13"/>
        <v>1</v>
      </c>
      <c r="O88" t="str">
        <f>CONCATENATE("6 ","")</f>
        <v xml:space="preserve">6 </v>
      </c>
      <c r="P88">
        <v>38.85</v>
      </c>
      <c r="Q88" t="s">
        <v>24</v>
      </c>
    </row>
    <row r="89" spans="1:17" x14ac:dyDescent="0.25">
      <c r="A89" t="s">
        <v>17</v>
      </c>
      <c r="B89" s="1">
        <v>41718</v>
      </c>
      <c r="C89" t="s">
        <v>140</v>
      </c>
      <c r="D89" t="str">
        <f>CONCATENATE("0060011135","")</f>
        <v>0060011135</v>
      </c>
      <c r="E89" t="str">
        <f>CONCATENATE("0120103001666       ","")</f>
        <v xml:space="preserve">0120103001666       </v>
      </c>
      <c r="F89" t="str">
        <f>CONCATENATE("4975","")</f>
        <v>4975</v>
      </c>
      <c r="G89" t="s">
        <v>205</v>
      </c>
      <c r="H89" t="s">
        <v>210</v>
      </c>
      <c r="I89" t="s">
        <v>211</v>
      </c>
      <c r="J89" t="str">
        <f t="shared" si="14"/>
        <v>081201</v>
      </c>
      <c r="K89" t="s">
        <v>22</v>
      </c>
      <c r="L89" t="s">
        <v>23</v>
      </c>
      <c r="M89" t="str">
        <f t="shared" si="13"/>
        <v>1</v>
      </c>
      <c r="O89" t="str">
        <f t="shared" ref="O89:O98" si="15">CONCATENATE("1 ","")</f>
        <v xml:space="preserve">1 </v>
      </c>
      <c r="P89">
        <v>125.6</v>
      </c>
      <c r="Q89" t="s">
        <v>24</v>
      </c>
    </row>
    <row r="90" spans="1:17" x14ac:dyDescent="0.25">
      <c r="A90" t="s">
        <v>17</v>
      </c>
      <c r="B90" s="1">
        <v>41718</v>
      </c>
      <c r="C90" t="s">
        <v>140</v>
      </c>
      <c r="D90" t="str">
        <f>CONCATENATE("0060001242","")</f>
        <v>0060001242</v>
      </c>
      <c r="E90" t="str">
        <f>CONCATENATE("0120103001811       ","")</f>
        <v xml:space="preserve">0120103001811       </v>
      </c>
      <c r="F90" t="str">
        <f>CONCATENATE("1661050","")</f>
        <v>1661050</v>
      </c>
      <c r="G90" t="s">
        <v>205</v>
      </c>
      <c r="H90" t="s">
        <v>212</v>
      </c>
      <c r="I90" t="s">
        <v>213</v>
      </c>
      <c r="J90" t="str">
        <f t="shared" si="14"/>
        <v>081201</v>
      </c>
      <c r="K90" t="s">
        <v>22</v>
      </c>
      <c r="L90" t="s">
        <v>23</v>
      </c>
      <c r="M90" t="str">
        <f t="shared" si="13"/>
        <v>1</v>
      </c>
      <c r="O90" t="str">
        <f t="shared" si="15"/>
        <v xml:space="preserve">1 </v>
      </c>
      <c r="P90">
        <v>30.65</v>
      </c>
      <c r="Q90" t="s">
        <v>24</v>
      </c>
    </row>
    <row r="91" spans="1:17" x14ac:dyDescent="0.25">
      <c r="A91" t="s">
        <v>17</v>
      </c>
      <c r="B91" s="1">
        <v>41718</v>
      </c>
      <c r="C91" t="s">
        <v>140</v>
      </c>
      <c r="D91" t="str">
        <f>CONCATENATE("0060001264","")</f>
        <v>0060001264</v>
      </c>
      <c r="E91" t="str">
        <f>CONCATENATE("0120103001990       ","")</f>
        <v xml:space="preserve">0120103001990       </v>
      </c>
      <c r="F91" t="str">
        <f>CONCATENATE("1865623","")</f>
        <v>1865623</v>
      </c>
      <c r="G91" t="s">
        <v>148</v>
      </c>
      <c r="H91" t="s">
        <v>214</v>
      </c>
      <c r="I91" t="s">
        <v>215</v>
      </c>
      <c r="J91" t="str">
        <f t="shared" si="14"/>
        <v>081201</v>
      </c>
      <c r="K91" t="s">
        <v>22</v>
      </c>
      <c r="L91" t="s">
        <v>23</v>
      </c>
      <c r="M91" t="str">
        <f t="shared" si="13"/>
        <v>1</v>
      </c>
      <c r="O91" t="str">
        <f t="shared" si="15"/>
        <v xml:space="preserve">1 </v>
      </c>
      <c r="P91">
        <v>36.15</v>
      </c>
      <c r="Q91" t="s">
        <v>24</v>
      </c>
    </row>
    <row r="92" spans="1:17" x14ac:dyDescent="0.25">
      <c r="A92" t="s">
        <v>17</v>
      </c>
      <c r="B92" s="1">
        <v>41718</v>
      </c>
      <c r="C92" t="s">
        <v>140</v>
      </c>
      <c r="D92" t="str">
        <f>CONCATENATE("0060009103","")</f>
        <v>0060009103</v>
      </c>
      <c r="E92" t="str">
        <f>CONCATENATE("0120104000313       ","")</f>
        <v xml:space="preserve">0120104000313       </v>
      </c>
      <c r="F92" t="str">
        <f>CONCATENATE("507030440","")</f>
        <v>507030440</v>
      </c>
      <c r="G92" t="s">
        <v>216</v>
      </c>
      <c r="H92" t="s">
        <v>217</v>
      </c>
      <c r="I92" t="s">
        <v>218</v>
      </c>
      <c r="J92" t="str">
        <f t="shared" si="14"/>
        <v>081201</v>
      </c>
      <c r="K92" t="s">
        <v>22</v>
      </c>
      <c r="L92" t="s">
        <v>23</v>
      </c>
      <c r="M92" t="str">
        <f>CONCATENATE("3","")</f>
        <v>3</v>
      </c>
      <c r="O92" t="str">
        <f t="shared" si="15"/>
        <v xml:space="preserve">1 </v>
      </c>
      <c r="P92">
        <v>168.05</v>
      </c>
      <c r="Q92" t="s">
        <v>24</v>
      </c>
    </row>
    <row r="93" spans="1:17" x14ac:dyDescent="0.25">
      <c r="A93" t="s">
        <v>17</v>
      </c>
      <c r="B93" s="1">
        <v>41718</v>
      </c>
      <c r="C93" t="s">
        <v>140</v>
      </c>
      <c r="D93" t="str">
        <f>CONCATENATE("0060008959","")</f>
        <v>0060008959</v>
      </c>
      <c r="E93" t="str">
        <f>CONCATENATE("0120104000315       ","")</f>
        <v xml:space="preserve">0120104000315       </v>
      </c>
      <c r="F93" t="str">
        <f>CONCATENATE("02558490","")</f>
        <v>02558490</v>
      </c>
      <c r="G93" t="s">
        <v>216</v>
      </c>
      <c r="H93" t="s">
        <v>219</v>
      </c>
      <c r="I93" t="s">
        <v>220</v>
      </c>
      <c r="J93" t="str">
        <f t="shared" si="14"/>
        <v>081201</v>
      </c>
      <c r="K93" t="s">
        <v>22</v>
      </c>
      <c r="L93" t="s">
        <v>23</v>
      </c>
      <c r="M93" t="str">
        <f>CONCATENATE("1","")</f>
        <v>1</v>
      </c>
      <c r="O93" t="str">
        <f t="shared" si="15"/>
        <v xml:space="preserve">1 </v>
      </c>
      <c r="P93">
        <v>38.75</v>
      </c>
      <c r="Q93" t="s">
        <v>24</v>
      </c>
    </row>
    <row r="94" spans="1:17" x14ac:dyDescent="0.25">
      <c r="A94" t="s">
        <v>17</v>
      </c>
      <c r="B94" s="1">
        <v>41718</v>
      </c>
      <c r="C94" t="s">
        <v>140</v>
      </c>
      <c r="D94" t="str">
        <f>CONCATENATE("0060008837","")</f>
        <v>0060008837</v>
      </c>
      <c r="E94" t="str">
        <f>CONCATENATE("0120104000463       ","")</f>
        <v xml:space="preserve">0120104000463       </v>
      </c>
      <c r="F94" t="str">
        <f>CONCATENATE("0605630570","")</f>
        <v>0605630570</v>
      </c>
      <c r="G94" t="s">
        <v>216</v>
      </c>
      <c r="H94" t="s">
        <v>221</v>
      </c>
      <c r="I94" t="s">
        <v>222</v>
      </c>
      <c r="J94" t="str">
        <f t="shared" si="14"/>
        <v>081201</v>
      </c>
      <c r="K94" t="s">
        <v>22</v>
      </c>
      <c r="L94" t="s">
        <v>23</v>
      </c>
      <c r="M94" t="str">
        <f>CONCATENATE("1","")</f>
        <v>1</v>
      </c>
      <c r="O94" t="str">
        <f t="shared" si="15"/>
        <v xml:space="preserve">1 </v>
      </c>
      <c r="P94">
        <v>58.75</v>
      </c>
      <c r="Q94" t="s">
        <v>24</v>
      </c>
    </row>
    <row r="95" spans="1:17" x14ac:dyDescent="0.25">
      <c r="A95" t="s">
        <v>17</v>
      </c>
      <c r="B95" s="1">
        <v>41718</v>
      </c>
      <c r="C95" t="s">
        <v>140</v>
      </c>
      <c r="D95" t="str">
        <f>CONCATENATE("0060013151","")</f>
        <v>0060013151</v>
      </c>
      <c r="E95" t="str">
        <f>CONCATENATE("0120104000547       ","")</f>
        <v xml:space="preserve">0120104000547       </v>
      </c>
      <c r="F95" t="str">
        <f>CONCATENATE("605274048","")</f>
        <v>605274048</v>
      </c>
      <c r="G95" t="s">
        <v>216</v>
      </c>
      <c r="H95" t="s">
        <v>223</v>
      </c>
      <c r="I95" t="s">
        <v>224</v>
      </c>
      <c r="J95" t="str">
        <f t="shared" si="14"/>
        <v>081201</v>
      </c>
      <c r="K95" t="s">
        <v>22</v>
      </c>
      <c r="L95" t="s">
        <v>23</v>
      </c>
      <c r="M95" t="str">
        <f>CONCATENATE("1","")</f>
        <v>1</v>
      </c>
      <c r="O95" t="str">
        <f t="shared" si="15"/>
        <v xml:space="preserve">1 </v>
      </c>
      <c r="P95">
        <v>32.049999999999997</v>
      </c>
      <c r="Q95" t="s">
        <v>24</v>
      </c>
    </row>
    <row r="96" spans="1:17" x14ac:dyDescent="0.25">
      <c r="A96" t="s">
        <v>17</v>
      </c>
      <c r="B96" s="1">
        <v>41718</v>
      </c>
      <c r="C96" t="s">
        <v>140</v>
      </c>
      <c r="D96" t="str">
        <f>CONCATENATE("0060001011","")</f>
        <v>0060001011</v>
      </c>
      <c r="E96" t="str">
        <f>CONCATENATE("0120104000586       ","")</f>
        <v xml:space="preserve">0120104000586       </v>
      </c>
      <c r="F96" t="str">
        <f>CONCATENATE("1097295","")</f>
        <v>1097295</v>
      </c>
      <c r="G96" t="s">
        <v>216</v>
      </c>
      <c r="H96" t="s">
        <v>225</v>
      </c>
      <c r="I96" t="s">
        <v>226</v>
      </c>
      <c r="J96" t="str">
        <f t="shared" si="14"/>
        <v>081201</v>
      </c>
      <c r="K96" t="s">
        <v>22</v>
      </c>
      <c r="L96" t="s">
        <v>23</v>
      </c>
      <c r="M96" t="str">
        <f>CONCATENATE("1","")</f>
        <v>1</v>
      </c>
      <c r="O96" t="str">
        <f t="shared" si="15"/>
        <v xml:space="preserve">1 </v>
      </c>
      <c r="P96">
        <v>78.5</v>
      </c>
      <c r="Q96" t="s">
        <v>24</v>
      </c>
    </row>
    <row r="97" spans="1:17" x14ac:dyDescent="0.25">
      <c r="A97" t="s">
        <v>17</v>
      </c>
      <c r="B97" s="1">
        <v>41718</v>
      </c>
      <c r="C97" t="s">
        <v>140</v>
      </c>
      <c r="D97" t="str">
        <f>CONCATENATE("0060001502","")</f>
        <v>0060001502</v>
      </c>
      <c r="E97" t="str">
        <f>CONCATENATE("0120106000050       ","")</f>
        <v xml:space="preserve">0120106000050       </v>
      </c>
      <c r="F97" t="str">
        <f>CONCATENATE("7292907","")</f>
        <v>7292907</v>
      </c>
      <c r="G97" t="s">
        <v>205</v>
      </c>
      <c r="H97" t="s">
        <v>227</v>
      </c>
      <c r="I97" t="s">
        <v>228</v>
      </c>
      <c r="J97" t="str">
        <f t="shared" si="14"/>
        <v>081201</v>
      </c>
      <c r="K97" t="s">
        <v>22</v>
      </c>
      <c r="L97" t="s">
        <v>23</v>
      </c>
      <c r="M97" t="str">
        <f>CONCATENATE("1","")</f>
        <v>1</v>
      </c>
      <c r="O97" t="str">
        <f t="shared" si="15"/>
        <v xml:space="preserve">1 </v>
      </c>
      <c r="P97">
        <v>19.5</v>
      </c>
      <c r="Q97" t="s">
        <v>24</v>
      </c>
    </row>
    <row r="98" spans="1:17" x14ac:dyDescent="0.25">
      <c r="A98" t="s">
        <v>17</v>
      </c>
      <c r="B98" s="1">
        <v>41718</v>
      </c>
      <c r="C98" t="s">
        <v>140</v>
      </c>
      <c r="D98" t="str">
        <f>CONCATENATE("0060001566","")</f>
        <v>0060001566</v>
      </c>
      <c r="E98" t="str">
        <f>CONCATENATE("0120110000550       ","")</f>
        <v xml:space="preserve">0120110000550       </v>
      </c>
      <c r="F98" t="str">
        <f>CONCATENATE("1081159","")</f>
        <v>1081159</v>
      </c>
      <c r="G98" t="s">
        <v>229</v>
      </c>
      <c r="H98" t="s">
        <v>230</v>
      </c>
      <c r="I98" t="s">
        <v>231</v>
      </c>
      <c r="J98" t="str">
        <f t="shared" si="14"/>
        <v>081201</v>
      </c>
      <c r="K98" t="s">
        <v>22</v>
      </c>
      <c r="L98" t="s">
        <v>23</v>
      </c>
      <c r="M98" t="str">
        <f>CONCATENATE("2","")</f>
        <v>2</v>
      </c>
      <c r="O98" t="str">
        <f t="shared" si="15"/>
        <v xml:space="preserve">1 </v>
      </c>
      <c r="P98">
        <v>13.95</v>
      </c>
      <c r="Q98" t="s">
        <v>24</v>
      </c>
    </row>
    <row r="99" spans="1:17" x14ac:dyDescent="0.25">
      <c r="A99" t="s">
        <v>17</v>
      </c>
      <c r="B99" s="1">
        <v>41718</v>
      </c>
      <c r="C99" t="s">
        <v>140</v>
      </c>
      <c r="D99" t="str">
        <f>CONCATENATE("0060001570","")</f>
        <v>0060001570</v>
      </c>
      <c r="E99" t="str">
        <f>CONCATENATE("0120110000610       ","")</f>
        <v xml:space="preserve">0120110000610       </v>
      </c>
      <c r="F99" t="str">
        <f>CONCATENATE("605354768","")</f>
        <v>605354768</v>
      </c>
      <c r="G99" t="s">
        <v>229</v>
      </c>
      <c r="H99" t="s">
        <v>232</v>
      </c>
      <c r="I99" t="s">
        <v>231</v>
      </c>
      <c r="J99" t="str">
        <f t="shared" si="14"/>
        <v>081201</v>
      </c>
      <c r="K99" t="s">
        <v>22</v>
      </c>
      <c r="L99" t="s">
        <v>23</v>
      </c>
      <c r="M99" t="str">
        <f>CONCATENATE("1","")</f>
        <v>1</v>
      </c>
      <c r="O99" t="str">
        <f>CONCATENATE("5 ","")</f>
        <v xml:space="preserve">5 </v>
      </c>
      <c r="P99">
        <v>41.05</v>
      </c>
      <c r="Q99" t="s">
        <v>24</v>
      </c>
    </row>
    <row r="100" spans="1:17" x14ac:dyDescent="0.25">
      <c r="A100" t="s">
        <v>17</v>
      </c>
      <c r="B100" s="1">
        <v>41718</v>
      </c>
      <c r="C100" t="s">
        <v>140</v>
      </c>
      <c r="D100" t="str">
        <f>CONCATENATE("0060001594","")</f>
        <v>0060001594</v>
      </c>
      <c r="E100" t="str">
        <f>CONCATENATE("0120120000210       ","")</f>
        <v xml:space="preserve">0120120000210       </v>
      </c>
      <c r="F100" t="str">
        <f>CONCATENATE("605393577","")</f>
        <v>605393577</v>
      </c>
      <c r="G100" t="s">
        <v>233</v>
      </c>
      <c r="H100" t="s">
        <v>234</v>
      </c>
      <c r="I100" t="s">
        <v>235</v>
      </c>
      <c r="J100" t="str">
        <f t="shared" si="14"/>
        <v>081201</v>
      </c>
      <c r="K100" t="s">
        <v>22</v>
      </c>
      <c r="L100" t="s">
        <v>23</v>
      </c>
      <c r="M100" t="str">
        <f>CONCATENATE("1","")</f>
        <v>1</v>
      </c>
      <c r="O100" t="str">
        <f>CONCATENATE("1 ","")</f>
        <v xml:space="preserve">1 </v>
      </c>
      <c r="P100">
        <v>57.45</v>
      </c>
      <c r="Q100" t="s">
        <v>24</v>
      </c>
    </row>
    <row r="101" spans="1:17" x14ac:dyDescent="0.25">
      <c r="A101" t="s">
        <v>17</v>
      </c>
      <c r="B101" s="1">
        <v>41718</v>
      </c>
      <c r="C101" t="s">
        <v>140</v>
      </c>
      <c r="D101" t="str">
        <f>CONCATENATE("0060014210","")</f>
        <v>0060014210</v>
      </c>
      <c r="E101" t="str">
        <f>CONCATENATE("0120125000223       ","")</f>
        <v xml:space="preserve">0120125000223       </v>
      </c>
      <c r="F101" t="str">
        <f>CONCATENATE("605745460","")</f>
        <v>605745460</v>
      </c>
      <c r="G101" t="s">
        <v>236</v>
      </c>
      <c r="H101" t="s">
        <v>237</v>
      </c>
      <c r="I101" t="s">
        <v>238</v>
      </c>
      <c r="J101" t="str">
        <f t="shared" si="14"/>
        <v>081201</v>
      </c>
      <c r="K101" t="s">
        <v>22</v>
      </c>
      <c r="L101" t="s">
        <v>23</v>
      </c>
      <c r="M101" t="str">
        <f>CONCATENATE("1","")</f>
        <v>1</v>
      </c>
      <c r="O101" t="str">
        <f>CONCATENATE("1 ","")</f>
        <v xml:space="preserve">1 </v>
      </c>
      <c r="P101">
        <v>51.6</v>
      </c>
      <c r="Q101" t="s">
        <v>24</v>
      </c>
    </row>
    <row r="102" spans="1:17" x14ac:dyDescent="0.25">
      <c r="A102" t="s">
        <v>17</v>
      </c>
      <c r="B102" s="1">
        <v>41718</v>
      </c>
      <c r="C102" t="s">
        <v>140</v>
      </c>
      <c r="D102" t="str">
        <f>CONCATENATE("0060001671","")</f>
        <v>0060001671</v>
      </c>
      <c r="E102" t="str">
        <f>CONCATENATE("0120125000385       ","")</f>
        <v xml:space="preserve">0120125000385       </v>
      </c>
      <c r="F102" t="str">
        <f>CONCATENATE("0605759372","")</f>
        <v>0605759372</v>
      </c>
      <c r="G102" t="s">
        <v>236</v>
      </c>
      <c r="H102" t="s">
        <v>239</v>
      </c>
      <c r="I102" t="s">
        <v>240</v>
      </c>
      <c r="J102" t="str">
        <f t="shared" si="14"/>
        <v>081201</v>
      </c>
      <c r="K102" t="s">
        <v>22</v>
      </c>
      <c r="L102" t="s">
        <v>23</v>
      </c>
      <c r="M102" t="str">
        <f>CONCATENATE("1","")</f>
        <v>1</v>
      </c>
      <c r="O102" t="str">
        <f>CONCATENATE("2 ","")</f>
        <v xml:space="preserve">2 </v>
      </c>
      <c r="P102">
        <v>30.1</v>
      </c>
      <c r="Q102" t="s">
        <v>24</v>
      </c>
    </row>
    <row r="103" spans="1:17" x14ac:dyDescent="0.25">
      <c r="A103" t="s">
        <v>17</v>
      </c>
      <c r="B103" s="1">
        <v>41718</v>
      </c>
      <c r="C103" t="s">
        <v>140</v>
      </c>
      <c r="D103" t="str">
        <f>CONCATENATE("0060001702","")</f>
        <v>0060001702</v>
      </c>
      <c r="E103" t="str">
        <f>CONCATENATE("0120125000720       ","")</f>
        <v xml:space="preserve">0120125000720       </v>
      </c>
      <c r="F103" t="str">
        <f>CONCATENATE("2126981","")</f>
        <v>2126981</v>
      </c>
      <c r="G103" t="s">
        <v>241</v>
      </c>
      <c r="H103" t="s">
        <v>242</v>
      </c>
      <c r="I103" t="s">
        <v>243</v>
      </c>
      <c r="J103" t="str">
        <f t="shared" si="14"/>
        <v>081201</v>
      </c>
      <c r="K103" t="s">
        <v>22</v>
      </c>
      <c r="L103" t="s">
        <v>23</v>
      </c>
      <c r="M103" t="str">
        <f>CONCATENATE("1","")</f>
        <v>1</v>
      </c>
      <c r="O103" t="str">
        <f>CONCATENATE("2 ","")</f>
        <v xml:space="preserve">2 </v>
      </c>
      <c r="P103">
        <v>40.85</v>
      </c>
      <c r="Q103" t="s">
        <v>24</v>
      </c>
    </row>
    <row r="104" spans="1:17" x14ac:dyDescent="0.25">
      <c r="A104" t="s">
        <v>17</v>
      </c>
      <c r="B104" s="1">
        <v>41718</v>
      </c>
      <c r="C104" t="s">
        <v>140</v>
      </c>
      <c r="D104" t="str">
        <f>CONCATENATE("0060001710","")</f>
        <v>0060001710</v>
      </c>
      <c r="E104" t="str">
        <f>CONCATENATE("0120125000790       ","")</f>
        <v xml:space="preserve">0120125000790       </v>
      </c>
      <c r="F104" t="str">
        <f>CONCATENATE("507008631","")</f>
        <v>507008631</v>
      </c>
      <c r="G104" t="s">
        <v>236</v>
      </c>
      <c r="H104" t="s">
        <v>244</v>
      </c>
      <c r="I104" t="s">
        <v>243</v>
      </c>
      <c r="J104" t="str">
        <f t="shared" si="14"/>
        <v>081201</v>
      </c>
      <c r="K104" t="s">
        <v>22</v>
      </c>
      <c r="L104" t="s">
        <v>23</v>
      </c>
      <c r="M104" t="str">
        <f>CONCATENATE("3","")</f>
        <v>3</v>
      </c>
      <c r="O104" t="str">
        <f>CONCATENATE("2 ","")</f>
        <v xml:space="preserve">2 </v>
      </c>
      <c r="P104">
        <v>49.2</v>
      </c>
      <c r="Q104" t="s">
        <v>28</v>
      </c>
    </row>
    <row r="105" spans="1:17" x14ac:dyDescent="0.25">
      <c r="A105" t="s">
        <v>17</v>
      </c>
      <c r="B105" s="1">
        <v>41718</v>
      </c>
      <c r="C105" t="s">
        <v>140</v>
      </c>
      <c r="D105" t="str">
        <f>CONCATENATE("0060001711","")</f>
        <v>0060001711</v>
      </c>
      <c r="E105" t="str">
        <f>CONCATENATE("0120125000800       ","")</f>
        <v xml:space="preserve">0120125000800       </v>
      </c>
      <c r="F105" t="str">
        <f>CONCATENATE("2126997","")</f>
        <v>2126997</v>
      </c>
      <c r="G105" t="s">
        <v>241</v>
      </c>
      <c r="H105" t="s">
        <v>245</v>
      </c>
      <c r="I105" t="s">
        <v>243</v>
      </c>
      <c r="J105" t="str">
        <f t="shared" si="14"/>
        <v>081201</v>
      </c>
      <c r="K105" t="s">
        <v>22</v>
      </c>
      <c r="L105" t="s">
        <v>23</v>
      </c>
      <c r="M105" t="str">
        <f>CONCATENATE("1","")</f>
        <v>1</v>
      </c>
      <c r="O105" t="str">
        <f>CONCATENATE("2 ","")</f>
        <v xml:space="preserve">2 </v>
      </c>
      <c r="P105">
        <v>49</v>
      </c>
      <c r="Q105" t="s">
        <v>24</v>
      </c>
    </row>
    <row r="106" spans="1:17" x14ac:dyDescent="0.25">
      <c r="A106" t="s">
        <v>17</v>
      </c>
      <c r="B106" s="1">
        <v>41718</v>
      </c>
      <c r="C106" t="s">
        <v>140</v>
      </c>
      <c r="D106" t="str">
        <f>CONCATENATE("0060001731","")</f>
        <v>0060001731</v>
      </c>
      <c r="E106" t="str">
        <f>CONCATENATE("0120125000975       ","")</f>
        <v xml:space="preserve">0120125000975       </v>
      </c>
      <c r="F106" t="str">
        <f>CONCATENATE("1080064","")</f>
        <v>1080064</v>
      </c>
      <c r="G106" t="s">
        <v>241</v>
      </c>
      <c r="H106" t="s">
        <v>246</v>
      </c>
      <c r="I106" t="s">
        <v>247</v>
      </c>
      <c r="J106" t="str">
        <f t="shared" si="14"/>
        <v>081201</v>
      </c>
      <c r="K106" t="s">
        <v>22</v>
      </c>
      <c r="L106" t="s">
        <v>23</v>
      </c>
      <c r="M106" t="str">
        <f>CONCATENATE("1","")</f>
        <v>1</v>
      </c>
      <c r="O106" t="str">
        <f>CONCATENATE("1 ","")</f>
        <v xml:space="preserve">1 </v>
      </c>
      <c r="P106">
        <v>25.5</v>
      </c>
      <c r="Q106" t="s">
        <v>24</v>
      </c>
    </row>
    <row r="107" spans="1:17" x14ac:dyDescent="0.25">
      <c r="A107" t="s">
        <v>17</v>
      </c>
      <c r="B107" s="1">
        <v>41718</v>
      </c>
      <c r="C107" t="s">
        <v>140</v>
      </c>
      <c r="D107" t="str">
        <f>CONCATENATE("0060018587","")</f>
        <v>0060018587</v>
      </c>
      <c r="E107" t="str">
        <f>CONCATENATE("0120125002013       ","")</f>
        <v xml:space="preserve">0120125002013       </v>
      </c>
      <c r="F107" t="str">
        <f>CONCATENATE("507030509","")</f>
        <v>507030509</v>
      </c>
      <c r="G107" t="s">
        <v>236</v>
      </c>
      <c r="H107" t="s">
        <v>248</v>
      </c>
      <c r="I107" t="s">
        <v>249</v>
      </c>
      <c r="J107" t="str">
        <f t="shared" si="14"/>
        <v>081201</v>
      </c>
      <c r="K107" t="s">
        <v>22</v>
      </c>
      <c r="L107" t="s">
        <v>23</v>
      </c>
      <c r="M107" t="str">
        <f>CONCATENATE("3","")</f>
        <v>3</v>
      </c>
      <c r="O107" t="str">
        <f>CONCATENATE("1 ","")</f>
        <v xml:space="preserve">1 </v>
      </c>
      <c r="P107">
        <v>37.299999999999997</v>
      </c>
      <c r="Q107" t="s">
        <v>28</v>
      </c>
    </row>
    <row r="108" spans="1:17" x14ac:dyDescent="0.25">
      <c r="A108" t="s">
        <v>17</v>
      </c>
      <c r="B108" s="1">
        <v>41718</v>
      </c>
      <c r="C108" t="s">
        <v>140</v>
      </c>
      <c r="D108" t="str">
        <f>CONCATENATE("0060016843","")</f>
        <v>0060016843</v>
      </c>
      <c r="E108" t="str">
        <f>CONCATENATE("0120129000040       ","")</f>
        <v xml:space="preserve">0120129000040       </v>
      </c>
      <c r="F108" t="str">
        <f>CONCATENATE("2150062","")</f>
        <v>2150062</v>
      </c>
      <c r="G108" t="s">
        <v>250</v>
      </c>
      <c r="H108" t="s">
        <v>251</v>
      </c>
      <c r="I108" t="s">
        <v>252</v>
      </c>
      <c r="J108" t="str">
        <f t="shared" si="14"/>
        <v>081201</v>
      </c>
      <c r="K108" t="s">
        <v>22</v>
      </c>
      <c r="L108" t="s">
        <v>23</v>
      </c>
      <c r="M108" t="str">
        <f t="shared" ref="M108:M135" si="16">CONCATENATE("1","")</f>
        <v>1</v>
      </c>
      <c r="O108" t="str">
        <f>CONCATENATE("2 ","")</f>
        <v xml:space="preserve">2 </v>
      </c>
      <c r="P108">
        <v>18.2</v>
      </c>
      <c r="Q108" t="s">
        <v>24</v>
      </c>
    </row>
    <row r="109" spans="1:17" x14ac:dyDescent="0.25">
      <c r="A109" t="s">
        <v>17</v>
      </c>
      <c r="B109" s="1">
        <v>41718</v>
      </c>
      <c r="C109" t="s">
        <v>140</v>
      </c>
      <c r="D109" t="str">
        <f>CONCATENATE("0060001895","")</f>
        <v>0060001895</v>
      </c>
      <c r="E109" t="str">
        <f>CONCATENATE("0120130000745       ","")</f>
        <v xml:space="preserve">0120130000745       </v>
      </c>
      <c r="F109" t="str">
        <f>CONCATENATE("00000001694","")</f>
        <v>00000001694</v>
      </c>
      <c r="G109" t="s">
        <v>253</v>
      </c>
      <c r="H109" t="s">
        <v>254</v>
      </c>
      <c r="I109" t="s">
        <v>255</v>
      </c>
      <c r="J109" t="str">
        <f t="shared" si="14"/>
        <v>081201</v>
      </c>
      <c r="K109" t="s">
        <v>22</v>
      </c>
      <c r="L109" t="s">
        <v>23</v>
      </c>
      <c r="M109" t="str">
        <f t="shared" si="16"/>
        <v>1</v>
      </c>
      <c r="O109" t="str">
        <f t="shared" ref="O109:O126" si="17">CONCATENATE("1 ","")</f>
        <v xml:space="preserve">1 </v>
      </c>
      <c r="P109">
        <v>11.4</v>
      </c>
      <c r="Q109" t="s">
        <v>24</v>
      </c>
    </row>
    <row r="110" spans="1:17" x14ac:dyDescent="0.25">
      <c r="A110" t="s">
        <v>17</v>
      </c>
      <c r="B110" s="1">
        <v>41718</v>
      </c>
      <c r="C110" t="s">
        <v>140</v>
      </c>
      <c r="D110" t="str">
        <f>CONCATENATE("0060016968","")</f>
        <v>0060016968</v>
      </c>
      <c r="E110" t="str">
        <f>CONCATENATE("0120132000020       ","")</f>
        <v xml:space="preserve">0120132000020       </v>
      </c>
      <c r="F110" t="str">
        <f>CONCATENATE("2003067","")</f>
        <v>2003067</v>
      </c>
      <c r="G110" t="s">
        <v>229</v>
      </c>
      <c r="H110" t="s">
        <v>256</v>
      </c>
      <c r="I110" t="s">
        <v>257</v>
      </c>
      <c r="J110" t="str">
        <f t="shared" si="14"/>
        <v>081201</v>
      </c>
      <c r="K110" t="s">
        <v>22</v>
      </c>
      <c r="L110" t="s">
        <v>23</v>
      </c>
      <c r="M110" t="str">
        <f t="shared" si="16"/>
        <v>1</v>
      </c>
      <c r="O110" t="str">
        <f t="shared" si="17"/>
        <v xml:space="preserve">1 </v>
      </c>
      <c r="P110">
        <v>23.05</v>
      </c>
      <c r="Q110" t="s">
        <v>24</v>
      </c>
    </row>
    <row r="111" spans="1:17" x14ac:dyDescent="0.25">
      <c r="A111" t="s">
        <v>17</v>
      </c>
      <c r="B111" s="1">
        <v>41718</v>
      </c>
      <c r="C111" t="s">
        <v>140</v>
      </c>
      <c r="D111" t="str">
        <f>CONCATENATE("0060001936","")</f>
        <v>0060001936</v>
      </c>
      <c r="E111" t="str">
        <f>CONCATENATE("0120135000015       ","")</f>
        <v xml:space="preserve">0120135000015       </v>
      </c>
      <c r="F111" t="str">
        <f>CONCATENATE("01115824","")</f>
        <v>01115824</v>
      </c>
      <c r="G111" t="s">
        <v>258</v>
      </c>
      <c r="H111" t="s">
        <v>259</v>
      </c>
      <c r="I111" t="s">
        <v>260</v>
      </c>
      <c r="J111" t="str">
        <f t="shared" si="14"/>
        <v>081201</v>
      </c>
      <c r="K111" t="s">
        <v>22</v>
      </c>
      <c r="L111" t="s">
        <v>23</v>
      </c>
      <c r="M111" t="str">
        <f t="shared" si="16"/>
        <v>1</v>
      </c>
      <c r="O111" t="str">
        <f t="shared" si="17"/>
        <v xml:space="preserve">1 </v>
      </c>
      <c r="P111">
        <v>25.55</v>
      </c>
      <c r="Q111" t="s">
        <v>24</v>
      </c>
    </row>
    <row r="112" spans="1:17" x14ac:dyDescent="0.25">
      <c r="A112" t="s">
        <v>17</v>
      </c>
      <c r="B112" s="1">
        <v>41718</v>
      </c>
      <c r="C112" t="s">
        <v>140</v>
      </c>
      <c r="D112" t="str">
        <f>CONCATENATE("0060001956","")</f>
        <v>0060001956</v>
      </c>
      <c r="E112" t="str">
        <f>CONCATENATE("0120135000220       ","")</f>
        <v xml:space="preserve">0120135000220       </v>
      </c>
      <c r="F112" t="str">
        <f>CONCATENATE("605350453","")</f>
        <v>605350453</v>
      </c>
      <c r="G112" t="s">
        <v>258</v>
      </c>
      <c r="H112" t="s">
        <v>261</v>
      </c>
      <c r="I112" t="s">
        <v>262</v>
      </c>
      <c r="J112" t="str">
        <f t="shared" si="14"/>
        <v>081201</v>
      </c>
      <c r="K112" t="s">
        <v>22</v>
      </c>
      <c r="L112" t="s">
        <v>23</v>
      </c>
      <c r="M112" t="str">
        <f t="shared" si="16"/>
        <v>1</v>
      </c>
      <c r="O112" t="str">
        <f t="shared" si="17"/>
        <v xml:space="preserve">1 </v>
      </c>
      <c r="P112">
        <v>21.95</v>
      </c>
      <c r="Q112" t="s">
        <v>24</v>
      </c>
    </row>
    <row r="113" spans="1:17" x14ac:dyDescent="0.25">
      <c r="A113" t="s">
        <v>17</v>
      </c>
      <c r="B113" s="1">
        <v>41718</v>
      </c>
      <c r="C113" t="s">
        <v>140</v>
      </c>
      <c r="D113" t="str">
        <f>CONCATENATE("0060009744","")</f>
        <v>0060009744</v>
      </c>
      <c r="E113" t="str">
        <f>CONCATENATE("0120136000125       ","")</f>
        <v xml:space="preserve">0120136000125       </v>
      </c>
      <c r="F113" t="str">
        <f>CONCATENATE("00000005684","")</f>
        <v>00000005684</v>
      </c>
      <c r="G113" t="s">
        <v>263</v>
      </c>
      <c r="H113" t="s">
        <v>264</v>
      </c>
      <c r="I113" t="s">
        <v>265</v>
      </c>
      <c r="J113" t="str">
        <f t="shared" si="14"/>
        <v>081201</v>
      </c>
      <c r="K113" t="s">
        <v>22</v>
      </c>
      <c r="L113" t="s">
        <v>23</v>
      </c>
      <c r="M113" t="str">
        <f t="shared" si="16"/>
        <v>1</v>
      </c>
      <c r="O113" t="str">
        <f t="shared" si="17"/>
        <v xml:space="preserve">1 </v>
      </c>
      <c r="P113">
        <v>49.75</v>
      </c>
      <c r="Q113" t="s">
        <v>24</v>
      </c>
    </row>
    <row r="114" spans="1:17" x14ac:dyDescent="0.25">
      <c r="A114" t="s">
        <v>17</v>
      </c>
      <c r="B114" s="1">
        <v>41718</v>
      </c>
      <c r="C114" t="s">
        <v>140</v>
      </c>
      <c r="D114" t="str">
        <f>CONCATENATE("0060009780","")</f>
        <v>0060009780</v>
      </c>
      <c r="E114" t="str">
        <f>CONCATENATE("0120136001005       ","")</f>
        <v xml:space="preserve">0120136001005       </v>
      </c>
      <c r="F114" t="str">
        <f>CONCATENATE("00000005701","")</f>
        <v>00000005701</v>
      </c>
      <c r="G114" t="s">
        <v>266</v>
      </c>
      <c r="H114" t="s">
        <v>267</v>
      </c>
      <c r="I114" t="s">
        <v>268</v>
      </c>
      <c r="J114" t="str">
        <f t="shared" si="14"/>
        <v>081201</v>
      </c>
      <c r="K114" t="s">
        <v>22</v>
      </c>
      <c r="L114" t="s">
        <v>23</v>
      </c>
      <c r="M114" t="str">
        <f t="shared" si="16"/>
        <v>1</v>
      </c>
      <c r="O114" t="str">
        <f t="shared" si="17"/>
        <v xml:space="preserve">1 </v>
      </c>
      <c r="P114">
        <v>19.55</v>
      </c>
      <c r="Q114" t="s">
        <v>24</v>
      </c>
    </row>
    <row r="115" spans="1:17" x14ac:dyDescent="0.25">
      <c r="A115" t="s">
        <v>17</v>
      </c>
      <c r="B115" s="1">
        <v>41718</v>
      </c>
      <c r="C115" t="s">
        <v>140</v>
      </c>
      <c r="D115" t="str">
        <f>CONCATENATE("0060018276","")</f>
        <v>0060018276</v>
      </c>
      <c r="E115" t="str">
        <f>CONCATENATE("0120136001111       ","")</f>
        <v xml:space="preserve">0120136001111       </v>
      </c>
      <c r="F115" t="str">
        <f>CONCATENATE("2185512","")</f>
        <v>2185512</v>
      </c>
      <c r="G115" t="s">
        <v>266</v>
      </c>
      <c r="H115" t="s">
        <v>269</v>
      </c>
      <c r="I115" t="s">
        <v>270</v>
      </c>
      <c r="J115" t="str">
        <f t="shared" si="14"/>
        <v>081201</v>
      </c>
      <c r="K115" t="s">
        <v>22</v>
      </c>
      <c r="L115" t="s">
        <v>23</v>
      </c>
      <c r="M115" t="str">
        <f t="shared" si="16"/>
        <v>1</v>
      </c>
      <c r="O115" t="str">
        <f t="shared" si="17"/>
        <v xml:space="preserve">1 </v>
      </c>
      <c r="P115">
        <v>18.25</v>
      </c>
      <c r="Q115" t="s">
        <v>24</v>
      </c>
    </row>
    <row r="116" spans="1:17" x14ac:dyDescent="0.25">
      <c r="A116" t="s">
        <v>17</v>
      </c>
      <c r="B116" s="1">
        <v>41718</v>
      </c>
      <c r="C116" t="s">
        <v>140</v>
      </c>
      <c r="D116" t="str">
        <f>CONCATENATE("0060009554","")</f>
        <v>0060009554</v>
      </c>
      <c r="E116" t="str">
        <f>CONCATENATE("0120138000020       ","")</f>
        <v xml:space="preserve">0120138000020       </v>
      </c>
      <c r="F116" t="str">
        <f>CONCATENATE("10635947","")</f>
        <v>10635947</v>
      </c>
      <c r="G116" t="s">
        <v>271</v>
      </c>
      <c r="H116" t="s">
        <v>272</v>
      </c>
      <c r="I116" t="s">
        <v>273</v>
      </c>
      <c r="J116" t="str">
        <f t="shared" si="14"/>
        <v>081201</v>
      </c>
      <c r="K116" t="s">
        <v>22</v>
      </c>
      <c r="L116" t="s">
        <v>23</v>
      </c>
      <c r="M116" t="str">
        <f t="shared" si="16"/>
        <v>1</v>
      </c>
      <c r="O116" t="str">
        <f t="shared" si="17"/>
        <v xml:space="preserve">1 </v>
      </c>
      <c r="P116">
        <v>25.5</v>
      </c>
      <c r="Q116" t="s">
        <v>24</v>
      </c>
    </row>
    <row r="117" spans="1:17" x14ac:dyDescent="0.25">
      <c r="A117" t="s">
        <v>17</v>
      </c>
      <c r="B117" s="1">
        <v>41718</v>
      </c>
      <c r="C117" t="s">
        <v>140</v>
      </c>
      <c r="D117" t="str">
        <f>CONCATENATE("0060009555","")</f>
        <v>0060009555</v>
      </c>
      <c r="E117" t="str">
        <f>CONCATENATE("0120138000030       ","")</f>
        <v xml:space="preserve">0120138000030       </v>
      </c>
      <c r="F117" t="str">
        <f>CONCATENATE("1940129","")</f>
        <v>1940129</v>
      </c>
      <c r="G117" t="s">
        <v>271</v>
      </c>
      <c r="H117" t="s">
        <v>274</v>
      </c>
      <c r="I117" t="s">
        <v>273</v>
      </c>
      <c r="J117" t="str">
        <f t="shared" si="14"/>
        <v>081201</v>
      </c>
      <c r="K117" t="s">
        <v>22</v>
      </c>
      <c r="L117" t="s">
        <v>23</v>
      </c>
      <c r="M117" t="str">
        <f t="shared" si="16"/>
        <v>1</v>
      </c>
      <c r="O117" t="str">
        <f t="shared" si="17"/>
        <v xml:space="preserve">1 </v>
      </c>
      <c r="P117">
        <v>53.9</v>
      </c>
      <c r="Q117" t="s">
        <v>24</v>
      </c>
    </row>
    <row r="118" spans="1:17" x14ac:dyDescent="0.25">
      <c r="A118" t="s">
        <v>17</v>
      </c>
      <c r="B118" s="1">
        <v>41718</v>
      </c>
      <c r="C118" t="s">
        <v>140</v>
      </c>
      <c r="D118" t="str">
        <f>CONCATENATE("0060009876","")</f>
        <v>0060009876</v>
      </c>
      <c r="E118" t="str">
        <f>CONCATENATE("0120138000035       ","")</f>
        <v xml:space="preserve">0120138000035       </v>
      </c>
      <c r="F118" t="str">
        <f>CONCATENATE("2174209","")</f>
        <v>2174209</v>
      </c>
      <c r="G118" t="s">
        <v>271</v>
      </c>
      <c r="H118" t="s">
        <v>275</v>
      </c>
      <c r="I118" t="s">
        <v>276</v>
      </c>
      <c r="J118" t="str">
        <f t="shared" si="14"/>
        <v>081201</v>
      </c>
      <c r="K118" t="s">
        <v>22</v>
      </c>
      <c r="L118" t="s">
        <v>23</v>
      </c>
      <c r="M118" t="str">
        <f t="shared" si="16"/>
        <v>1</v>
      </c>
      <c r="O118" t="str">
        <f t="shared" si="17"/>
        <v xml:space="preserve">1 </v>
      </c>
      <c r="P118">
        <v>21.55</v>
      </c>
      <c r="Q118" t="s">
        <v>24</v>
      </c>
    </row>
    <row r="119" spans="1:17" x14ac:dyDescent="0.25">
      <c r="A119" t="s">
        <v>17</v>
      </c>
      <c r="B119" s="1">
        <v>41718</v>
      </c>
      <c r="C119" t="s">
        <v>140</v>
      </c>
      <c r="D119" t="str">
        <f>CONCATENATE("0060009556","")</f>
        <v>0060009556</v>
      </c>
      <c r="E119" t="str">
        <f>CONCATENATE("0120138000090       ","")</f>
        <v xml:space="preserve">0120138000090       </v>
      </c>
      <c r="F119" t="str">
        <f>CONCATENATE("10635952","")</f>
        <v>10635952</v>
      </c>
      <c r="G119" t="s">
        <v>271</v>
      </c>
      <c r="H119" t="s">
        <v>277</v>
      </c>
      <c r="I119" t="s">
        <v>273</v>
      </c>
      <c r="J119" t="str">
        <f t="shared" si="14"/>
        <v>081201</v>
      </c>
      <c r="K119" t="s">
        <v>22</v>
      </c>
      <c r="L119" t="s">
        <v>23</v>
      </c>
      <c r="M119" t="str">
        <f t="shared" si="16"/>
        <v>1</v>
      </c>
      <c r="O119" t="str">
        <f t="shared" si="17"/>
        <v xml:space="preserve">1 </v>
      </c>
      <c r="P119">
        <v>13.3</v>
      </c>
      <c r="Q119" t="s">
        <v>24</v>
      </c>
    </row>
    <row r="120" spans="1:17" x14ac:dyDescent="0.25">
      <c r="A120" t="s">
        <v>17</v>
      </c>
      <c r="B120" s="1">
        <v>41718</v>
      </c>
      <c r="C120" t="s">
        <v>140</v>
      </c>
      <c r="D120" t="str">
        <f>CONCATENATE("0060009595","")</f>
        <v>0060009595</v>
      </c>
      <c r="E120" t="str">
        <f>CONCATENATE("0120139000200       ","")</f>
        <v xml:space="preserve">0120139000200       </v>
      </c>
      <c r="F120" t="str">
        <f>CONCATENATE("10617973","")</f>
        <v>10617973</v>
      </c>
      <c r="G120" t="s">
        <v>278</v>
      </c>
      <c r="H120" t="s">
        <v>279</v>
      </c>
      <c r="I120" t="s">
        <v>280</v>
      </c>
      <c r="J120" t="str">
        <f t="shared" si="14"/>
        <v>081201</v>
      </c>
      <c r="K120" t="s">
        <v>22</v>
      </c>
      <c r="L120" t="s">
        <v>23</v>
      </c>
      <c r="M120" t="str">
        <f t="shared" si="16"/>
        <v>1</v>
      </c>
      <c r="O120" t="str">
        <f t="shared" si="17"/>
        <v xml:space="preserve">1 </v>
      </c>
      <c r="P120">
        <v>21.35</v>
      </c>
      <c r="Q120" t="s">
        <v>24</v>
      </c>
    </row>
    <row r="121" spans="1:17" x14ac:dyDescent="0.25">
      <c r="A121" t="s">
        <v>17</v>
      </c>
      <c r="B121" s="1">
        <v>41718</v>
      </c>
      <c r="C121" t="s">
        <v>140</v>
      </c>
      <c r="D121" t="str">
        <f>CONCATENATE("0060009604","")</f>
        <v>0060009604</v>
      </c>
      <c r="E121" t="str">
        <f>CONCATENATE("0120139000300       ","")</f>
        <v xml:space="preserve">0120139000300       </v>
      </c>
      <c r="F121" t="str">
        <f>CONCATENATE("10634816","")</f>
        <v>10634816</v>
      </c>
      <c r="G121" t="s">
        <v>278</v>
      </c>
      <c r="H121" t="s">
        <v>281</v>
      </c>
      <c r="I121" t="s">
        <v>280</v>
      </c>
      <c r="J121" t="str">
        <f t="shared" si="14"/>
        <v>081201</v>
      </c>
      <c r="K121" t="s">
        <v>22</v>
      </c>
      <c r="L121" t="s">
        <v>23</v>
      </c>
      <c r="M121" t="str">
        <f t="shared" si="16"/>
        <v>1</v>
      </c>
      <c r="O121" t="str">
        <f t="shared" si="17"/>
        <v xml:space="preserve">1 </v>
      </c>
      <c r="P121">
        <v>33.4</v>
      </c>
      <c r="Q121" t="s">
        <v>24</v>
      </c>
    </row>
    <row r="122" spans="1:17" x14ac:dyDescent="0.25">
      <c r="A122" t="s">
        <v>17</v>
      </c>
      <c r="B122" s="1">
        <v>41718</v>
      </c>
      <c r="C122" t="s">
        <v>140</v>
      </c>
      <c r="D122" t="str">
        <f>CONCATENATE("0060002034","")</f>
        <v>0060002034</v>
      </c>
      <c r="E122" t="str">
        <f>CONCATENATE("0120140000280       ","")</f>
        <v xml:space="preserve">0120140000280       </v>
      </c>
      <c r="F122" t="str">
        <f>CONCATENATE("2122694","")</f>
        <v>2122694</v>
      </c>
      <c r="G122" t="s">
        <v>282</v>
      </c>
      <c r="H122" t="s">
        <v>283</v>
      </c>
      <c r="I122" t="s">
        <v>284</v>
      </c>
      <c r="J122" t="str">
        <f t="shared" si="14"/>
        <v>081201</v>
      </c>
      <c r="K122" t="s">
        <v>22</v>
      </c>
      <c r="L122" t="s">
        <v>23</v>
      </c>
      <c r="M122" t="str">
        <f t="shared" si="16"/>
        <v>1</v>
      </c>
      <c r="O122" t="str">
        <f t="shared" si="17"/>
        <v xml:space="preserve">1 </v>
      </c>
      <c r="P122">
        <v>28.5</v>
      </c>
      <c r="Q122" t="s">
        <v>24</v>
      </c>
    </row>
    <row r="123" spans="1:17" x14ac:dyDescent="0.25">
      <c r="A123" t="s">
        <v>17</v>
      </c>
      <c r="B123" s="1">
        <v>41718</v>
      </c>
      <c r="C123" t="s">
        <v>140</v>
      </c>
      <c r="D123" t="str">
        <f>CONCATENATE("0060002071","")</f>
        <v>0060002071</v>
      </c>
      <c r="E123" t="str">
        <f>CONCATENATE("0120140000640       ","")</f>
        <v xml:space="preserve">0120140000640       </v>
      </c>
      <c r="F123" t="str">
        <f>CONCATENATE("1943453","")</f>
        <v>1943453</v>
      </c>
      <c r="G123" t="s">
        <v>282</v>
      </c>
      <c r="H123" t="s">
        <v>285</v>
      </c>
      <c r="I123" t="s">
        <v>286</v>
      </c>
      <c r="J123" t="str">
        <f t="shared" si="14"/>
        <v>081201</v>
      </c>
      <c r="K123" t="s">
        <v>22</v>
      </c>
      <c r="L123" t="s">
        <v>23</v>
      </c>
      <c r="M123" t="str">
        <f t="shared" si="16"/>
        <v>1</v>
      </c>
      <c r="O123" t="str">
        <f t="shared" si="17"/>
        <v xml:space="preserve">1 </v>
      </c>
      <c r="P123">
        <v>11.4</v>
      </c>
      <c r="Q123" t="s">
        <v>24</v>
      </c>
    </row>
    <row r="124" spans="1:17" x14ac:dyDescent="0.25">
      <c r="A124" t="s">
        <v>17</v>
      </c>
      <c r="B124" s="1">
        <v>41718</v>
      </c>
      <c r="C124" t="s">
        <v>140</v>
      </c>
      <c r="D124" t="str">
        <f>CONCATENATE("0060012375","")</f>
        <v>0060012375</v>
      </c>
      <c r="E124" t="str">
        <f>CONCATENATE("0120140000955       ","")</f>
        <v xml:space="preserve">0120140000955       </v>
      </c>
      <c r="F124" t="str">
        <f>CONCATENATE("605117502","")</f>
        <v>605117502</v>
      </c>
      <c r="G124" t="s">
        <v>282</v>
      </c>
      <c r="H124" t="s">
        <v>287</v>
      </c>
      <c r="I124" t="s">
        <v>288</v>
      </c>
      <c r="J124" t="str">
        <f t="shared" si="14"/>
        <v>081201</v>
      </c>
      <c r="K124" t="s">
        <v>22</v>
      </c>
      <c r="L124" t="s">
        <v>23</v>
      </c>
      <c r="M124" t="str">
        <f t="shared" si="16"/>
        <v>1</v>
      </c>
      <c r="O124" t="str">
        <f t="shared" si="17"/>
        <v xml:space="preserve">1 </v>
      </c>
      <c r="P124">
        <v>67.150000000000006</v>
      </c>
      <c r="Q124" t="s">
        <v>24</v>
      </c>
    </row>
    <row r="125" spans="1:17" x14ac:dyDescent="0.25">
      <c r="A125" t="s">
        <v>17</v>
      </c>
      <c r="B125" s="1">
        <v>41718</v>
      </c>
      <c r="C125" t="s">
        <v>289</v>
      </c>
      <c r="D125" t="str">
        <f>CONCATENATE("0060002158","")</f>
        <v>0060002158</v>
      </c>
      <c r="E125" t="str">
        <f>CONCATENATE("0120155000060       ","")</f>
        <v xml:space="preserve">0120155000060       </v>
      </c>
      <c r="F125" t="str">
        <f>CONCATENATE("1101438","")</f>
        <v>1101438</v>
      </c>
      <c r="G125" t="s">
        <v>290</v>
      </c>
      <c r="H125" t="s">
        <v>291</v>
      </c>
      <c r="I125" t="s">
        <v>292</v>
      </c>
      <c r="J125" t="str">
        <f t="shared" ref="J125:J156" si="18">CONCATENATE("081202","")</f>
        <v>081202</v>
      </c>
      <c r="K125" t="s">
        <v>22</v>
      </c>
      <c r="L125" t="s">
        <v>23</v>
      </c>
      <c r="M125" t="str">
        <f t="shared" si="16"/>
        <v>1</v>
      </c>
      <c r="O125" t="str">
        <f t="shared" si="17"/>
        <v xml:space="preserve">1 </v>
      </c>
      <c r="P125">
        <v>11.45</v>
      </c>
      <c r="Q125" t="s">
        <v>24</v>
      </c>
    </row>
    <row r="126" spans="1:17" x14ac:dyDescent="0.25">
      <c r="A126" t="s">
        <v>17</v>
      </c>
      <c r="B126" s="1">
        <v>41718</v>
      </c>
      <c r="C126" t="s">
        <v>289</v>
      </c>
      <c r="D126" t="str">
        <f>CONCATENATE("0060002168","")</f>
        <v>0060002168</v>
      </c>
      <c r="E126" t="str">
        <f>CONCATENATE("0120155000180       ","")</f>
        <v xml:space="preserve">0120155000180       </v>
      </c>
      <c r="F126" t="str">
        <f>CONCATENATE("1101440","")</f>
        <v>1101440</v>
      </c>
      <c r="G126" t="s">
        <v>290</v>
      </c>
      <c r="H126" t="s">
        <v>293</v>
      </c>
      <c r="I126" t="s">
        <v>292</v>
      </c>
      <c r="J126" t="str">
        <f t="shared" si="18"/>
        <v>081202</v>
      </c>
      <c r="K126" t="s">
        <v>22</v>
      </c>
      <c r="L126" t="s">
        <v>23</v>
      </c>
      <c r="M126" t="str">
        <f t="shared" si="16"/>
        <v>1</v>
      </c>
      <c r="O126" t="str">
        <f t="shared" si="17"/>
        <v xml:space="preserve">1 </v>
      </c>
      <c r="P126">
        <v>40.15</v>
      </c>
      <c r="Q126" t="s">
        <v>24</v>
      </c>
    </row>
    <row r="127" spans="1:17" x14ac:dyDescent="0.25">
      <c r="A127" t="s">
        <v>17</v>
      </c>
      <c r="B127" s="1">
        <v>41718</v>
      </c>
      <c r="C127" t="s">
        <v>289</v>
      </c>
      <c r="D127" t="str">
        <f>CONCATENATE("0060002175","")</f>
        <v>0060002175</v>
      </c>
      <c r="E127" t="str">
        <f>CONCATENATE("0120155000270       ","")</f>
        <v xml:space="preserve">0120155000270       </v>
      </c>
      <c r="F127" t="str">
        <f>CONCATENATE("605352730","")</f>
        <v>605352730</v>
      </c>
      <c r="G127" t="s">
        <v>290</v>
      </c>
      <c r="H127" t="s">
        <v>294</v>
      </c>
      <c r="I127" t="s">
        <v>292</v>
      </c>
      <c r="J127" t="str">
        <f t="shared" si="18"/>
        <v>081202</v>
      </c>
      <c r="K127" t="s">
        <v>22</v>
      </c>
      <c r="L127" t="s">
        <v>23</v>
      </c>
      <c r="M127" t="str">
        <f t="shared" si="16"/>
        <v>1</v>
      </c>
      <c r="O127" t="str">
        <f>CONCATENATE("7 ","")</f>
        <v xml:space="preserve">7 </v>
      </c>
      <c r="P127">
        <v>46.55</v>
      </c>
      <c r="Q127" t="s">
        <v>24</v>
      </c>
    </row>
    <row r="128" spans="1:17" x14ac:dyDescent="0.25">
      <c r="A128" t="s">
        <v>17</v>
      </c>
      <c r="B128" s="1">
        <v>41718</v>
      </c>
      <c r="C128" t="s">
        <v>289</v>
      </c>
      <c r="D128" t="str">
        <f>CONCATENATE("0060002193","")</f>
        <v>0060002193</v>
      </c>
      <c r="E128" t="str">
        <f>CONCATENATE("0120155000480       ","")</f>
        <v xml:space="preserve">0120155000480       </v>
      </c>
      <c r="F128" t="str">
        <f>CONCATENATE("605352732","")</f>
        <v>605352732</v>
      </c>
      <c r="G128" t="s">
        <v>290</v>
      </c>
      <c r="H128" t="s">
        <v>295</v>
      </c>
      <c r="I128" t="s">
        <v>292</v>
      </c>
      <c r="J128" t="str">
        <f t="shared" si="18"/>
        <v>081202</v>
      </c>
      <c r="K128" t="s">
        <v>22</v>
      </c>
      <c r="L128" t="s">
        <v>23</v>
      </c>
      <c r="M128" t="str">
        <f t="shared" si="16"/>
        <v>1</v>
      </c>
      <c r="O128" t="str">
        <f>CONCATENATE("2 ","")</f>
        <v xml:space="preserve">2 </v>
      </c>
      <c r="P128">
        <v>17.100000000000001</v>
      </c>
      <c r="Q128" t="s">
        <v>24</v>
      </c>
    </row>
    <row r="129" spans="1:17" x14ac:dyDescent="0.25">
      <c r="A129" t="s">
        <v>17</v>
      </c>
      <c r="B129" s="1">
        <v>41718</v>
      </c>
      <c r="C129" t="s">
        <v>289</v>
      </c>
      <c r="D129" t="str">
        <f>CONCATENATE("0060002194","")</f>
        <v>0060002194</v>
      </c>
      <c r="E129" t="str">
        <f>CONCATENATE("0120155000490       ","")</f>
        <v xml:space="preserve">0120155000490       </v>
      </c>
      <c r="F129" t="str">
        <f>CONCATENATE("605352724","")</f>
        <v>605352724</v>
      </c>
      <c r="G129" t="s">
        <v>290</v>
      </c>
      <c r="H129" t="s">
        <v>296</v>
      </c>
      <c r="I129" t="s">
        <v>292</v>
      </c>
      <c r="J129" t="str">
        <f t="shared" si="18"/>
        <v>081202</v>
      </c>
      <c r="K129" t="s">
        <v>22</v>
      </c>
      <c r="L129" t="s">
        <v>23</v>
      </c>
      <c r="M129" t="str">
        <f t="shared" si="16"/>
        <v>1</v>
      </c>
      <c r="O129" t="str">
        <f>CONCATENATE("3 ","")</f>
        <v xml:space="preserve">3 </v>
      </c>
      <c r="P129">
        <v>90.75</v>
      </c>
      <c r="Q129" t="s">
        <v>24</v>
      </c>
    </row>
    <row r="130" spans="1:17" x14ac:dyDescent="0.25">
      <c r="A130" t="s">
        <v>17</v>
      </c>
      <c r="B130" s="1">
        <v>41718</v>
      </c>
      <c r="C130" t="s">
        <v>289</v>
      </c>
      <c r="D130" t="str">
        <f>CONCATENATE("0060002210","")</f>
        <v>0060002210</v>
      </c>
      <c r="E130" t="str">
        <f>CONCATENATE("0120155000720       ","")</f>
        <v xml:space="preserve">0120155000720       </v>
      </c>
      <c r="F130" t="str">
        <f>CONCATENATE("605082731","")</f>
        <v>605082731</v>
      </c>
      <c r="G130" t="s">
        <v>290</v>
      </c>
      <c r="H130" t="s">
        <v>297</v>
      </c>
      <c r="I130" t="s">
        <v>292</v>
      </c>
      <c r="J130" t="str">
        <f t="shared" si="18"/>
        <v>081202</v>
      </c>
      <c r="K130" t="s">
        <v>22</v>
      </c>
      <c r="L130" t="s">
        <v>23</v>
      </c>
      <c r="M130" t="str">
        <f t="shared" si="16"/>
        <v>1</v>
      </c>
      <c r="O130" t="str">
        <f>CONCATENATE("1 ","")</f>
        <v xml:space="preserve">1 </v>
      </c>
      <c r="P130">
        <v>18.100000000000001</v>
      </c>
      <c r="Q130" t="s">
        <v>24</v>
      </c>
    </row>
    <row r="131" spans="1:17" x14ac:dyDescent="0.25">
      <c r="A131" t="s">
        <v>17</v>
      </c>
      <c r="B131" s="1">
        <v>41718</v>
      </c>
      <c r="C131" t="s">
        <v>289</v>
      </c>
      <c r="D131" t="str">
        <f>CONCATENATE("0060002212","")</f>
        <v>0060002212</v>
      </c>
      <c r="E131" t="str">
        <f>CONCATENATE("0120155000740       ","")</f>
        <v xml:space="preserve">0120155000740       </v>
      </c>
      <c r="F131" t="str">
        <f>CONCATENATE("605116642","")</f>
        <v>605116642</v>
      </c>
      <c r="G131" t="s">
        <v>290</v>
      </c>
      <c r="H131" t="s">
        <v>298</v>
      </c>
      <c r="I131" t="s">
        <v>292</v>
      </c>
      <c r="J131" t="str">
        <f t="shared" si="18"/>
        <v>081202</v>
      </c>
      <c r="K131" t="s">
        <v>22</v>
      </c>
      <c r="L131" t="s">
        <v>23</v>
      </c>
      <c r="M131" t="str">
        <f t="shared" si="16"/>
        <v>1</v>
      </c>
      <c r="O131" t="str">
        <f>CONCATENATE("1 ","")</f>
        <v xml:space="preserve">1 </v>
      </c>
      <c r="P131">
        <v>25.45</v>
      </c>
      <c r="Q131" t="s">
        <v>24</v>
      </c>
    </row>
    <row r="132" spans="1:17" x14ac:dyDescent="0.25">
      <c r="A132" t="s">
        <v>17</v>
      </c>
      <c r="B132" s="1">
        <v>41718</v>
      </c>
      <c r="C132" t="s">
        <v>289</v>
      </c>
      <c r="D132" t="str">
        <f>CONCATENATE("0060002215","")</f>
        <v>0060002215</v>
      </c>
      <c r="E132" t="str">
        <f>CONCATENATE("0120155000770       ","")</f>
        <v xml:space="preserve">0120155000770       </v>
      </c>
      <c r="F132" t="str">
        <f>CONCATENATE("1101441","")</f>
        <v>1101441</v>
      </c>
      <c r="G132" t="s">
        <v>290</v>
      </c>
      <c r="H132" t="s">
        <v>299</v>
      </c>
      <c r="I132" t="s">
        <v>292</v>
      </c>
      <c r="J132" t="str">
        <f t="shared" si="18"/>
        <v>081202</v>
      </c>
      <c r="K132" t="s">
        <v>22</v>
      </c>
      <c r="L132" t="s">
        <v>23</v>
      </c>
      <c r="M132" t="str">
        <f t="shared" si="16"/>
        <v>1</v>
      </c>
      <c r="O132" t="str">
        <f>CONCATENATE("1 ","")</f>
        <v xml:space="preserve">1 </v>
      </c>
      <c r="P132">
        <v>30</v>
      </c>
      <c r="Q132" t="s">
        <v>24</v>
      </c>
    </row>
    <row r="133" spans="1:17" x14ac:dyDescent="0.25">
      <c r="A133" t="s">
        <v>17</v>
      </c>
      <c r="B133" s="1">
        <v>41718</v>
      </c>
      <c r="C133" t="s">
        <v>289</v>
      </c>
      <c r="D133" t="str">
        <f>CONCATENATE("0060002229","")</f>
        <v>0060002229</v>
      </c>
      <c r="E133" t="str">
        <f>CONCATENATE("0120155001010       ","")</f>
        <v xml:space="preserve">0120155001010       </v>
      </c>
      <c r="F133" t="str">
        <f>CONCATENATE("1097607","")</f>
        <v>1097607</v>
      </c>
      <c r="G133" t="s">
        <v>290</v>
      </c>
      <c r="H133" t="s">
        <v>300</v>
      </c>
      <c r="I133" t="s">
        <v>292</v>
      </c>
      <c r="J133" t="str">
        <f t="shared" si="18"/>
        <v>081202</v>
      </c>
      <c r="K133" t="s">
        <v>22</v>
      </c>
      <c r="L133" t="s">
        <v>23</v>
      </c>
      <c r="M133" t="str">
        <f t="shared" si="16"/>
        <v>1</v>
      </c>
      <c r="O133" t="str">
        <f>CONCATENATE("1 ","")</f>
        <v xml:space="preserve">1 </v>
      </c>
      <c r="P133">
        <v>12.9</v>
      </c>
      <c r="Q133" t="s">
        <v>24</v>
      </c>
    </row>
    <row r="134" spans="1:17" x14ac:dyDescent="0.25">
      <c r="A134" t="s">
        <v>17</v>
      </c>
      <c r="B134" s="1">
        <v>41718</v>
      </c>
      <c r="C134" t="s">
        <v>289</v>
      </c>
      <c r="D134" t="str">
        <f>CONCATENATE("0060002243","")</f>
        <v>0060002243</v>
      </c>
      <c r="E134" t="str">
        <f>CONCATENATE("0120155001240       ","")</f>
        <v xml:space="preserve">0120155001240       </v>
      </c>
      <c r="F134" t="str">
        <f>CONCATENATE("606089028","")</f>
        <v>606089028</v>
      </c>
      <c r="G134" t="s">
        <v>290</v>
      </c>
      <c r="H134" t="s">
        <v>301</v>
      </c>
      <c r="I134" t="s">
        <v>292</v>
      </c>
      <c r="J134" t="str">
        <f t="shared" si="18"/>
        <v>081202</v>
      </c>
      <c r="K134" t="s">
        <v>22</v>
      </c>
      <c r="L134" t="s">
        <v>23</v>
      </c>
      <c r="M134" t="str">
        <f t="shared" si="16"/>
        <v>1</v>
      </c>
      <c r="O134" t="str">
        <f>CONCATENATE("3 ","")</f>
        <v xml:space="preserve">3 </v>
      </c>
      <c r="P134">
        <v>27.55</v>
      </c>
      <c r="Q134" t="s">
        <v>24</v>
      </c>
    </row>
    <row r="135" spans="1:17" x14ac:dyDescent="0.25">
      <c r="A135" t="s">
        <v>17</v>
      </c>
      <c r="B135" s="1">
        <v>41718</v>
      </c>
      <c r="C135" t="s">
        <v>289</v>
      </c>
      <c r="D135" t="str">
        <f>CONCATENATE("0060002259","")</f>
        <v>0060002259</v>
      </c>
      <c r="E135" t="str">
        <f>CONCATENATE("0120155001500       ","")</f>
        <v xml:space="preserve">0120155001500       </v>
      </c>
      <c r="F135" t="str">
        <f>CONCATENATE("605772856","")</f>
        <v>605772856</v>
      </c>
      <c r="G135" t="s">
        <v>290</v>
      </c>
      <c r="H135" t="s">
        <v>302</v>
      </c>
      <c r="I135" t="s">
        <v>292</v>
      </c>
      <c r="J135" t="str">
        <f t="shared" si="18"/>
        <v>081202</v>
      </c>
      <c r="K135" t="s">
        <v>22</v>
      </c>
      <c r="L135" t="s">
        <v>23</v>
      </c>
      <c r="M135" t="str">
        <f t="shared" si="16"/>
        <v>1</v>
      </c>
      <c r="O135" t="str">
        <f t="shared" ref="O135:O161" si="19">CONCATENATE("1 ","")</f>
        <v xml:space="preserve">1 </v>
      </c>
      <c r="P135">
        <v>22.4</v>
      </c>
      <c r="Q135" t="s">
        <v>24</v>
      </c>
    </row>
    <row r="136" spans="1:17" x14ac:dyDescent="0.25">
      <c r="A136" t="s">
        <v>17</v>
      </c>
      <c r="B136" s="1">
        <v>41718</v>
      </c>
      <c r="C136" t="s">
        <v>289</v>
      </c>
      <c r="D136" t="str">
        <f>CONCATENATE("0060002290","")</f>
        <v>0060002290</v>
      </c>
      <c r="E136" t="str">
        <f>CONCATENATE("0120201000092       ","")</f>
        <v xml:space="preserve">0120201000092       </v>
      </c>
      <c r="F136" t="str">
        <f>CONCATENATE("07033546","")</f>
        <v>07033546</v>
      </c>
      <c r="G136" t="s">
        <v>303</v>
      </c>
      <c r="H136" t="s">
        <v>304</v>
      </c>
      <c r="I136" t="s">
        <v>305</v>
      </c>
      <c r="J136" t="str">
        <f t="shared" si="18"/>
        <v>081202</v>
      </c>
      <c r="K136" t="s">
        <v>22</v>
      </c>
      <c r="L136" t="s">
        <v>23</v>
      </c>
      <c r="M136" t="str">
        <f>CONCATENATE("3","")</f>
        <v>3</v>
      </c>
      <c r="O136" t="str">
        <f t="shared" si="19"/>
        <v xml:space="preserve">1 </v>
      </c>
      <c r="P136">
        <v>259.85000000000002</v>
      </c>
      <c r="Q136" t="s">
        <v>28</v>
      </c>
    </row>
    <row r="137" spans="1:17" x14ac:dyDescent="0.25">
      <c r="A137" t="s">
        <v>17</v>
      </c>
      <c r="B137" s="1">
        <v>41718</v>
      </c>
      <c r="C137" t="s">
        <v>289</v>
      </c>
      <c r="D137" t="str">
        <f>CONCATENATE("0060017677","")</f>
        <v>0060017677</v>
      </c>
      <c r="E137" t="str">
        <f>CONCATENATE("0120201000358       ","")</f>
        <v xml:space="preserve">0120201000358       </v>
      </c>
      <c r="F137" t="str">
        <f>CONCATENATE("2120642","")</f>
        <v>2120642</v>
      </c>
      <c r="G137" t="s">
        <v>303</v>
      </c>
      <c r="H137" t="s">
        <v>306</v>
      </c>
      <c r="I137" t="s">
        <v>307</v>
      </c>
      <c r="J137" t="str">
        <f t="shared" si="18"/>
        <v>081202</v>
      </c>
      <c r="K137" t="s">
        <v>22</v>
      </c>
      <c r="L137" t="s">
        <v>23</v>
      </c>
      <c r="M137" t="str">
        <f t="shared" ref="M137:M155" si="20">CONCATENATE("1","")</f>
        <v>1</v>
      </c>
      <c r="O137" t="str">
        <f t="shared" si="19"/>
        <v xml:space="preserve">1 </v>
      </c>
      <c r="P137">
        <v>17.600000000000001</v>
      </c>
      <c r="Q137" t="s">
        <v>24</v>
      </c>
    </row>
    <row r="138" spans="1:17" x14ac:dyDescent="0.25">
      <c r="A138" t="s">
        <v>17</v>
      </c>
      <c r="B138" s="1">
        <v>41718</v>
      </c>
      <c r="C138" t="s">
        <v>289</v>
      </c>
      <c r="D138" t="str">
        <f>CONCATENATE("0060008207","")</f>
        <v>0060008207</v>
      </c>
      <c r="E138" t="str">
        <f>CONCATENATE("0120201000585       ","")</f>
        <v xml:space="preserve">0120201000585       </v>
      </c>
      <c r="F138" t="str">
        <f>CONCATENATE("4190","")</f>
        <v>4190</v>
      </c>
      <c r="G138" t="s">
        <v>303</v>
      </c>
      <c r="H138" t="s">
        <v>308</v>
      </c>
      <c r="I138" t="s">
        <v>309</v>
      </c>
      <c r="J138" t="str">
        <f t="shared" si="18"/>
        <v>081202</v>
      </c>
      <c r="K138" t="s">
        <v>22</v>
      </c>
      <c r="L138" t="s">
        <v>23</v>
      </c>
      <c r="M138" t="str">
        <f t="shared" si="20"/>
        <v>1</v>
      </c>
      <c r="O138" t="str">
        <f t="shared" si="19"/>
        <v xml:space="preserve">1 </v>
      </c>
      <c r="P138">
        <v>39.700000000000003</v>
      </c>
      <c r="Q138" t="s">
        <v>24</v>
      </c>
    </row>
    <row r="139" spans="1:17" x14ac:dyDescent="0.25">
      <c r="A139" t="s">
        <v>17</v>
      </c>
      <c r="B139" s="1">
        <v>41718</v>
      </c>
      <c r="C139" t="s">
        <v>289</v>
      </c>
      <c r="D139" t="str">
        <f>CONCATENATE("0060018343","")</f>
        <v>0060018343</v>
      </c>
      <c r="E139" t="str">
        <f>CONCATENATE("0120201000605       ","")</f>
        <v xml:space="preserve">0120201000605       </v>
      </c>
      <c r="F139" t="str">
        <f>CONCATENATE("2184541","")</f>
        <v>2184541</v>
      </c>
      <c r="G139" t="s">
        <v>303</v>
      </c>
      <c r="H139" t="s">
        <v>310</v>
      </c>
      <c r="I139" t="s">
        <v>311</v>
      </c>
      <c r="J139" t="str">
        <f t="shared" si="18"/>
        <v>081202</v>
      </c>
      <c r="K139" t="s">
        <v>22</v>
      </c>
      <c r="L139" t="s">
        <v>23</v>
      </c>
      <c r="M139" t="str">
        <f t="shared" si="20"/>
        <v>1</v>
      </c>
      <c r="O139" t="str">
        <f t="shared" si="19"/>
        <v xml:space="preserve">1 </v>
      </c>
      <c r="P139">
        <v>11.7</v>
      </c>
      <c r="Q139" t="s">
        <v>24</v>
      </c>
    </row>
    <row r="140" spans="1:17" x14ac:dyDescent="0.25">
      <c r="A140" t="s">
        <v>17</v>
      </c>
      <c r="B140" s="1">
        <v>41718</v>
      </c>
      <c r="C140" t="s">
        <v>289</v>
      </c>
      <c r="D140" t="str">
        <f>CONCATENATE("0060009993","")</f>
        <v>0060009993</v>
      </c>
      <c r="E140" t="str">
        <f>CONCATENATE("0120201000615       ","")</f>
        <v xml:space="preserve">0120201000615       </v>
      </c>
      <c r="F140" t="str">
        <f>CONCATENATE("605630823","")</f>
        <v>605630823</v>
      </c>
      <c r="G140" t="s">
        <v>303</v>
      </c>
      <c r="H140" t="s">
        <v>312</v>
      </c>
      <c r="I140" t="s">
        <v>313</v>
      </c>
      <c r="J140" t="str">
        <f t="shared" si="18"/>
        <v>081202</v>
      </c>
      <c r="K140" t="s">
        <v>22</v>
      </c>
      <c r="L140" t="s">
        <v>23</v>
      </c>
      <c r="M140" t="str">
        <f t="shared" si="20"/>
        <v>1</v>
      </c>
      <c r="O140" t="str">
        <f t="shared" si="19"/>
        <v xml:space="preserve">1 </v>
      </c>
      <c r="P140">
        <v>111.05</v>
      </c>
      <c r="Q140" t="s">
        <v>24</v>
      </c>
    </row>
    <row r="141" spans="1:17" x14ac:dyDescent="0.25">
      <c r="A141" t="s">
        <v>17</v>
      </c>
      <c r="B141" s="1">
        <v>41718</v>
      </c>
      <c r="C141" t="s">
        <v>289</v>
      </c>
      <c r="D141" t="str">
        <f>CONCATENATE("0060010707","")</f>
        <v>0060010707</v>
      </c>
      <c r="E141" t="str">
        <f>CONCATENATE("0120201001103       ","")</f>
        <v xml:space="preserve">0120201001103       </v>
      </c>
      <c r="F141" t="str">
        <f>CONCATENATE("1068288","")</f>
        <v>1068288</v>
      </c>
      <c r="G141" t="s">
        <v>303</v>
      </c>
      <c r="H141" t="s">
        <v>314</v>
      </c>
      <c r="I141" t="s">
        <v>315</v>
      </c>
      <c r="J141" t="str">
        <f t="shared" si="18"/>
        <v>081202</v>
      </c>
      <c r="K141" t="s">
        <v>22</v>
      </c>
      <c r="L141" t="s">
        <v>23</v>
      </c>
      <c r="M141" t="str">
        <f t="shared" si="20"/>
        <v>1</v>
      </c>
      <c r="O141" t="str">
        <f t="shared" si="19"/>
        <v xml:space="preserve">1 </v>
      </c>
      <c r="P141">
        <v>145.44999999999999</v>
      </c>
      <c r="Q141" t="s">
        <v>24</v>
      </c>
    </row>
    <row r="142" spans="1:17" x14ac:dyDescent="0.25">
      <c r="A142" t="s">
        <v>17</v>
      </c>
      <c r="B142" s="1">
        <v>41718</v>
      </c>
      <c r="C142" t="s">
        <v>289</v>
      </c>
      <c r="D142" t="str">
        <f>CONCATENATE("0060009078","")</f>
        <v>0060009078</v>
      </c>
      <c r="E142" t="str">
        <f>CONCATENATE("0120201001135       ","")</f>
        <v xml:space="preserve">0120201001135       </v>
      </c>
      <c r="F142" t="str">
        <f>CONCATENATE("00189157","")</f>
        <v>00189157</v>
      </c>
      <c r="G142" t="s">
        <v>303</v>
      </c>
      <c r="H142" t="s">
        <v>316</v>
      </c>
      <c r="I142" t="s">
        <v>317</v>
      </c>
      <c r="J142" t="str">
        <f t="shared" si="18"/>
        <v>081202</v>
      </c>
      <c r="K142" t="s">
        <v>22</v>
      </c>
      <c r="L142" t="s">
        <v>23</v>
      </c>
      <c r="M142" t="str">
        <f t="shared" si="20"/>
        <v>1</v>
      </c>
      <c r="O142" t="str">
        <f t="shared" si="19"/>
        <v xml:space="preserve">1 </v>
      </c>
      <c r="P142">
        <v>112.8</v>
      </c>
      <c r="Q142" t="s">
        <v>24</v>
      </c>
    </row>
    <row r="143" spans="1:17" x14ac:dyDescent="0.25">
      <c r="A143" t="s">
        <v>17</v>
      </c>
      <c r="B143" s="1">
        <v>41718</v>
      </c>
      <c r="C143" t="s">
        <v>289</v>
      </c>
      <c r="D143" t="str">
        <f>CONCATENATE("0060002655","")</f>
        <v>0060002655</v>
      </c>
      <c r="E143" t="str">
        <f>CONCATENATE("0120202000385       ","")</f>
        <v xml:space="preserve">0120202000385       </v>
      </c>
      <c r="F143" t="str">
        <f>CONCATENATE("4004178","")</f>
        <v>4004178</v>
      </c>
      <c r="G143" t="s">
        <v>303</v>
      </c>
      <c r="H143" t="s">
        <v>318</v>
      </c>
      <c r="I143" t="s">
        <v>319</v>
      </c>
      <c r="J143" t="str">
        <f t="shared" si="18"/>
        <v>081202</v>
      </c>
      <c r="K143" t="s">
        <v>22</v>
      </c>
      <c r="L143" t="s">
        <v>23</v>
      </c>
      <c r="M143" t="str">
        <f t="shared" si="20"/>
        <v>1</v>
      </c>
      <c r="O143" t="str">
        <f t="shared" si="19"/>
        <v xml:space="preserve">1 </v>
      </c>
      <c r="P143">
        <v>31.6</v>
      </c>
      <c r="Q143" t="s">
        <v>24</v>
      </c>
    </row>
    <row r="144" spans="1:17" x14ac:dyDescent="0.25">
      <c r="A144" t="s">
        <v>17</v>
      </c>
      <c r="B144" s="1">
        <v>41718</v>
      </c>
      <c r="C144" t="s">
        <v>289</v>
      </c>
      <c r="D144" t="str">
        <f>CONCATENATE("0060002556","")</f>
        <v>0060002556</v>
      </c>
      <c r="E144" t="str">
        <f>CONCATENATE("0120202000500       ","")</f>
        <v xml:space="preserve">0120202000500       </v>
      </c>
      <c r="F144" t="str">
        <f>CONCATENATE("1940010","")</f>
        <v>1940010</v>
      </c>
      <c r="G144" t="s">
        <v>320</v>
      </c>
      <c r="H144" t="s">
        <v>321</v>
      </c>
      <c r="I144" t="s">
        <v>322</v>
      </c>
      <c r="J144" t="str">
        <f t="shared" si="18"/>
        <v>081202</v>
      </c>
      <c r="K144" t="s">
        <v>22</v>
      </c>
      <c r="L144" t="s">
        <v>23</v>
      </c>
      <c r="M144" t="str">
        <f t="shared" si="20"/>
        <v>1</v>
      </c>
      <c r="O144" t="str">
        <f t="shared" si="19"/>
        <v xml:space="preserve">1 </v>
      </c>
      <c r="P144">
        <v>123.6</v>
      </c>
      <c r="Q144" t="s">
        <v>24</v>
      </c>
    </row>
    <row r="145" spans="1:17" x14ac:dyDescent="0.25">
      <c r="A145" t="s">
        <v>17</v>
      </c>
      <c r="B145" s="1">
        <v>41718</v>
      </c>
      <c r="C145" t="s">
        <v>289</v>
      </c>
      <c r="D145" t="str">
        <f>CONCATENATE("0060002596","")</f>
        <v>0060002596</v>
      </c>
      <c r="E145" t="str">
        <f>CONCATENATE("0120202000800       ","")</f>
        <v xml:space="preserve">0120202000800       </v>
      </c>
      <c r="F145" t="str">
        <f>CONCATENATE("2124982","")</f>
        <v>2124982</v>
      </c>
      <c r="G145" t="s">
        <v>320</v>
      </c>
      <c r="H145" t="s">
        <v>323</v>
      </c>
      <c r="I145" t="s">
        <v>324</v>
      </c>
      <c r="J145" t="str">
        <f t="shared" si="18"/>
        <v>081202</v>
      </c>
      <c r="K145" t="s">
        <v>22</v>
      </c>
      <c r="L145" t="s">
        <v>23</v>
      </c>
      <c r="M145" t="str">
        <f t="shared" si="20"/>
        <v>1</v>
      </c>
      <c r="O145" t="str">
        <f t="shared" si="19"/>
        <v xml:space="preserve">1 </v>
      </c>
      <c r="P145">
        <v>35.200000000000003</v>
      </c>
      <c r="Q145" t="s">
        <v>24</v>
      </c>
    </row>
    <row r="146" spans="1:17" x14ac:dyDescent="0.25">
      <c r="A146" t="s">
        <v>17</v>
      </c>
      <c r="B146" s="1">
        <v>41718</v>
      </c>
      <c r="C146" t="s">
        <v>289</v>
      </c>
      <c r="D146" t="str">
        <f>CONCATENATE("0060002633","")</f>
        <v>0060002633</v>
      </c>
      <c r="E146" t="str">
        <f>CONCATENATE("0120202001100       ","")</f>
        <v xml:space="preserve">0120202001100       </v>
      </c>
      <c r="F146" t="str">
        <f>CONCATENATE("1940011","")</f>
        <v>1940011</v>
      </c>
      <c r="G146" t="s">
        <v>320</v>
      </c>
      <c r="H146" t="s">
        <v>325</v>
      </c>
      <c r="I146" t="s">
        <v>326</v>
      </c>
      <c r="J146" t="str">
        <f t="shared" si="18"/>
        <v>081202</v>
      </c>
      <c r="K146" t="s">
        <v>22</v>
      </c>
      <c r="L146" t="s">
        <v>23</v>
      </c>
      <c r="M146" t="str">
        <f t="shared" si="20"/>
        <v>1</v>
      </c>
      <c r="O146" t="str">
        <f t="shared" si="19"/>
        <v xml:space="preserve">1 </v>
      </c>
      <c r="P146">
        <v>11.45</v>
      </c>
      <c r="Q146" t="s">
        <v>24</v>
      </c>
    </row>
    <row r="147" spans="1:17" x14ac:dyDescent="0.25">
      <c r="A147" t="s">
        <v>17</v>
      </c>
      <c r="B147" s="1">
        <v>41718</v>
      </c>
      <c r="C147" t="s">
        <v>289</v>
      </c>
      <c r="D147" t="str">
        <f>CONCATENATE("0060011141","")</f>
        <v>0060011141</v>
      </c>
      <c r="E147" t="str">
        <f>CONCATENATE("0120202002010       ","")</f>
        <v xml:space="preserve">0120202002010       </v>
      </c>
      <c r="F147" t="str">
        <f>CONCATENATE("605750758","")</f>
        <v>605750758</v>
      </c>
      <c r="G147" t="s">
        <v>327</v>
      </c>
      <c r="H147" t="s">
        <v>328</v>
      </c>
      <c r="I147" t="s">
        <v>329</v>
      </c>
      <c r="J147" t="str">
        <f t="shared" si="18"/>
        <v>081202</v>
      </c>
      <c r="K147" t="s">
        <v>22</v>
      </c>
      <c r="L147" t="s">
        <v>23</v>
      </c>
      <c r="M147" t="str">
        <f t="shared" si="20"/>
        <v>1</v>
      </c>
      <c r="O147" t="str">
        <f t="shared" si="19"/>
        <v xml:space="preserve">1 </v>
      </c>
      <c r="P147">
        <v>84.35</v>
      </c>
      <c r="Q147" t="s">
        <v>24</v>
      </c>
    </row>
    <row r="148" spans="1:17" x14ac:dyDescent="0.25">
      <c r="A148" t="s">
        <v>17</v>
      </c>
      <c r="B148" s="1">
        <v>41718</v>
      </c>
      <c r="C148" t="s">
        <v>289</v>
      </c>
      <c r="D148" t="str">
        <f>CONCATENATE("0060014214","")</f>
        <v>0060014214</v>
      </c>
      <c r="E148" t="str">
        <f>CONCATENATE("0120204000260       ","")</f>
        <v xml:space="preserve">0120204000260       </v>
      </c>
      <c r="F148" t="str">
        <f>CONCATENATE("605621802","")</f>
        <v>605621802</v>
      </c>
      <c r="G148" t="s">
        <v>330</v>
      </c>
      <c r="H148" t="s">
        <v>331</v>
      </c>
      <c r="I148" t="s">
        <v>332</v>
      </c>
      <c r="J148" t="str">
        <f t="shared" si="18"/>
        <v>081202</v>
      </c>
      <c r="K148" t="s">
        <v>22</v>
      </c>
      <c r="L148" t="s">
        <v>23</v>
      </c>
      <c r="M148" t="str">
        <f t="shared" si="20"/>
        <v>1</v>
      </c>
      <c r="O148" t="str">
        <f t="shared" si="19"/>
        <v xml:space="preserve">1 </v>
      </c>
      <c r="P148">
        <v>27.3</v>
      </c>
      <c r="Q148" t="s">
        <v>24</v>
      </c>
    </row>
    <row r="149" spans="1:17" x14ac:dyDescent="0.25">
      <c r="A149" t="s">
        <v>17</v>
      </c>
      <c r="B149" s="1">
        <v>41718</v>
      </c>
      <c r="C149" t="s">
        <v>289</v>
      </c>
      <c r="D149" t="str">
        <f>CONCATENATE("0060009398","")</f>
        <v>0060009398</v>
      </c>
      <c r="E149" t="str">
        <f>CONCATENATE("0120205000005       ","")</f>
        <v xml:space="preserve">0120205000005       </v>
      </c>
      <c r="F149" t="str">
        <f>CONCATENATE("605754016","")</f>
        <v>605754016</v>
      </c>
      <c r="G149" t="s">
        <v>333</v>
      </c>
      <c r="H149" t="s">
        <v>334</v>
      </c>
      <c r="I149" t="s">
        <v>335</v>
      </c>
      <c r="J149" t="str">
        <f t="shared" si="18"/>
        <v>081202</v>
      </c>
      <c r="K149" t="s">
        <v>22</v>
      </c>
      <c r="L149" t="s">
        <v>23</v>
      </c>
      <c r="M149" t="str">
        <f t="shared" si="20"/>
        <v>1</v>
      </c>
      <c r="O149" t="str">
        <f t="shared" si="19"/>
        <v xml:space="preserve">1 </v>
      </c>
      <c r="P149">
        <v>25.45</v>
      </c>
      <c r="Q149" t="s">
        <v>24</v>
      </c>
    </row>
    <row r="150" spans="1:17" x14ac:dyDescent="0.25">
      <c r="A150" t="s">
        <v>17</v>
      </c>
      <c r="B150" s="1">
        <v>41718</v>
      </c>
      <c r="C150" t="s">
        <v>289</v>
      </c>
      <c r="D150" t="str">
        <f>CONCATENATE("0060008162","")</f>
        <v>0060008162</v>
      </c>
      <c r="E150" t="str">
        <f>CONCATENATE("0120205000350       ","")</f>
        <v xml:space="preserve">0120205000350       </v>
      </c>
      <c r="F150" t="str">
        <f>CONCATENATE("606089023","")</f>
        <v>606089023</v>
      </c>
      <c r="G150" t="s">
        <v>333</v>
      </c>
      <c r="H150" t="s">
        <v>336</v>
      </c>
      <c r="I150" t="s">
        <v>337</v>
      </c>
      <c r="J150" t="str">
        <f t="shared" si="18"/>
        <v>081202</v>
      </c>
      <c r="K150" t="s">
        <v>22</v>
      </c>
      <c r="L150" t="s">
        <v>23</v>
      </c>
      <c r="M150" t="str">
        <f t="shared" si="20"/>
        <v>1</v>
      </c>
      <c r="O150" t="str">
        <f t="shared" si="19"/>
        <v xml:space="preserve">1 </v>
      </c>
      <c r="P150">
        <v>37.950000000000003</v>
      </c>
      <c r="Q150" t="s">
        <v>24</v>
      </c>
    </row>
    <row r="151" spans="1:17" x14ac:dyDescent="0.25">
      <c r="A151" t="s">
        <v>17</v>
      </c>
      <c r="B151" s="1">
        <v>41718</v>
      </c>
      <c r="C151" t="s">
        <v>289</v>
      </c>
      <c r="D151" t="str">
        <f>CONCATENATE("0060015622","")</f>
        <v>0060015622</v>
      </c>
      <c r="E151" t="str">
        <f>CONCATENATE("0120208000475       ","")</f>
        <v xml:space="preserve">0120208000475       </v>
      </c>
      <c r="F151" t="str">
        <f>CONCATENATE("605933936","")</f>
        <v>605933936</v>
      </c>
      <c r="G151" t="s">
        <v>338</v>
      </c>
      <c r="H151" t="s">
        <v>339</v>
      </c>
      <c r="I151" t="s">
        <v>340</v>
      </c>
      <c r="J151" t="str">
        <f t="shared" si="18"/>
        <v>081202</v>
      </c>
      <c r="K151" t="s">
        <v>22</v>
      </c>
      <c r="L151" t="s">
        <v>23</v>
      </c>
      <c r="M151" t="str">
        <f t="shared" si="20"/>
        <v>1</v>
      </c>
      <c r="O151" t="str">
        <f t="shared" si="19"/>
        <v xml:space="preserve">1 </v>
      </c>
      <c r="P151">
        <v>23.9</v>
      </c>
      <c r="Q151" t="s">
        <v>24</v>
      </c>
    </row>
    <row r="152" spans="1:17" x14ac:dyDescent="0.25">
      <c r="A152" t="s">
        <v>17</v>
      </c>
      <c r="B152" s="1">
        <v>41718</v>
      </c>
      <c r="C152" t="s">
        <v>289</v>
      </c>
      <c r="D152" t="str">
        <f>CONCATENATE("0060013444","")</f>
        <v>0060013444</v>
      </c>
      <c r="E152" t="str">
        <f>CONCATENATE("0120208000730       ","")</f>
        <v xml:space="preserve">0120208000730       </v>
      </c>
      <c r="F152" t="str">
        <f>CONCATENATE("1501214","")</f>
        <v>1501214</v>
      </c>
      <c r="G152" t="s">
        <v>338</v>
      </c>
      <c r="H152" t="s">
        <v>341</v>
      </c>
      <c r="I152" t="s">
        <v>342</v>
      </c>
      <c r="J152" t="str">
        <f t="shared" si="18"/>
        <v>081202</v>
      </c>
      <c r="K152" t="s">
        <v>22</v>
      </c>
      <c r="L152" t="s">
        <v>23</v>
      </c>
      <c r="M152" t="str">
        <f t="shared" si="20"/>
        <v>1</v>
      </c>
      <c r="O152" t="str">
        <f t="shared" si="19"/>
        <v xml:space="preserve">1 </v>
      </c>
      <c r="P152">
        <v>32.15</v>
      </c>
      <c r="Q152" t="s">
        <v>24</v>
      </c>
    </row>
    <row r="153" spans="1:17" x14ac:dyDescent="0.25">
      <c r="A153" t="s">
        <v>17</v>
      </c>
      <c r="B153" s="1">
        <v>41718</v>
      </c>
      <c r="C153" t="s">
        <v>289</v>
      </c>
      <c r="D153" t="str">
        <f>CONCATENATE("0060016680","")</f>
        <v>0060016680</v>
      </c>
      <c r="E153" t="str">
        <f>CONCATENATE("0120208000745       ","")</f>
        <v xml:space="preserve">0120208000745       </v>
      </c>
      <c r="F153" t="str">
        <f>CONCATENATE("1931419","")</f>
        <v>1931419</v>
      </c>
      <c r="G153" t="s">
        <v>338</v>
      </c>
      <c r="H153" t="s">
        <v>343</v>
      </c>
      <c r="I153" t="s">
        <v>344</v>
      </c>
      <c r="J153" t="str">
        <f t="shared" si="18"/>
        <v>081202</v>
      </c>
      <c r="K153" t="s">
        <v>22</v>
      </c>
      <c r="L153" t="s">
        <v>23</v>
      </c>
      <c r="M153" t="str">
        <f t="shared" si="20"/>
        <v>1</v>
      </c>
      <c r="O153" t="str">
        <f t="shared" si="19"/>
        <v xml:space="preserve">1 </v>
      </c>
      <c r="P153">
        <v>11.35</v>
      </c>
      <c r="Q153" t="s">
        <v>24</v>
      </c>
    </row>
    <row r="154" spans="1:17" x14ac:dyDescent="0.25">
      <c r="A154" t="s">
        <v>17</v>
      </c>
      <c r="B154" s="1">
        <v>41718</v>
      </c>
      <c r="C154" t="s">
        <v>289</v>
      </c>
      <c r="D154" t="str">
        <f>CONCATENATE("0060014838","")</f>
        <v>0060014838</v>
      </c>
      <c r="E154" t="str">
        <f>CONCATENATE("0120209000030       ","")</f>
        <v xml:space="preserve">0120209000030       </v>
      </c>
      <c r="F154" t="str">
        <f>CONCATENATE("606030055","")</f>
        <v>606030055</v>
      </c>
      <c r="G154" t="s">
        <v>333</v>
      </c>
      <c r="H154" t="s">
        <v>345</v>
      </c>
      <c r="I154" t="s">
        <v>346</v>
      </c>
      <c r="J154" t="str">
        <f t="shared" si="18"/>
        <v>081202</v>
      </c>
      <c r="K154" t="s">
        <v>22</v>
      </c>
      <c r="L154" t="s">
        <v>23</v>
      </c>
      <c r="M154" t="str">
        <f t="shared" si="20"/>
        <v>1</v>
      </c>
      <c r="O154" t="str">
        <f t="shared" si="19"/>
        <v xml:space="preserve">1 </v>
      </c>
      <c r="P154">
        <v>45.35</v>
      </c>
      <c r="Q154" t="s">
        <v>24</v>
      </c>
    </row>
    <row r="155" spans="1:17" x14ac:dyDescent="0.25">
      <c r="A155" t="s">
        <v>17</v>
      </c>
      <c r="B155" s="1">
        <v>41718</v>
      </c>
      <c r="C155" t="s">
        <v>289</v>
      </c>
      <c r="D155" t="str">
        <f>CONCATENATE("0060014946","")</f>
        <v>0060014946</v>
      </c>
      <c r="E155" t="str">
        <f>CONCATENATE("0120212000025       ","")</f>
        <v xml:space="preserve">0120212000025       </v>
      </c>
      <c r="F155" t="str">
        <f>CONCATENATE("606029759","")</f>
        <v>606029759</v>
      </c>
      <c r="G155" t="s">
        <v>320</v>
      </c>
      <c r="H155" t="s">
        <v>347</v>
      </c>
      <c r="I155" t="s">
        <v>348</v>
      </c>
      <c r="J155" t="str">
        <f t="shared" si="18"/>
        <v>081202</v>
      </c>
      <c r="K155" t="s">
        <v>22</v>
      </c>
      <c r="L155" t="s">
        <v>23</v>
      </c>
      <c r="M155" t="str">
        <f t="shared" si="20"/>
        <v>1</v>
      </c>
      <c r="O155" t="str">
        <f t="shared" si="19"/>
        <v xml:space="preserve">1 </v>
      </c>
      <c r="P155">
        <v>22.9</v>
      </c>
      <c r="Q155" t="s">
        <v>24</v>
      </c>
    </row>
    <row r="156" spans="1:17" x14ac:dyDescent="0.25">
      <c r="A156" t="s">
        <v>17</v>
      </c>
      <c r="B156" s="1">
        <v>41718</v>
      </c>
      <c r="C156" t="s">
        <v>289</v>
      </c>
      <c r="D156" t="str">
        <f>CONCATENATE("0060014347","")</f>
        <v>0060014347</v>
      </c>
      <c r="E156" t="str">
        <f>CONCATENATE("0120220000019       ","")</f>
        <v xml:space="preserve">0120220000019       </v>
      </c>
      <c r="F156" t="str">
        <f>CONCATENATE("113166","")</f>
        <v>113166</v>
      </c>
      <c r="G156" t="s">
        <v>349</v>
      </c>
      <c r="H156" t="s">
        <v>350</v>
      </c>
      <c r="I156" t="s">
        <v>351</v>
      </c>
      <c r="J156" t="str">
        <f t="shared" si="18"/>
        <v>081202</v>
      </c>
      <c r="K156" t="s">
        <v>22</v>
      </c>
      <c r="L156" t="s">
        <v>23</v>
      </c>
      <c r="M156" t="str">
        <f>CONCATENATE("3","")</f>
        <v>3</v>
      </c>
      <c r="O156" t="str">
        <f t="shared" si="19"/>
        <v xml:space="preserve">1 </v>
      </c>
      <c r="P156">
        <v>19.100000000000001</v>
      </c>
      <c r="Q156" t="s">
        <v>28</v>
      </c>
    </row>
    <row r="157" spans="1:17" x14ac:dyDescent="0.25">
      <c r="A157" t="s">
        <v>17</v>
      </c>
      <c r="B157" s="1">
        <v>41718</v>
      </c>
      <c r="C157" t="s">
        <v>289</v>
      </c>
      <c r="D157" t="str">
        <f>CONCATENATE("0060002724","")</f>
        <v>0060002724</v>
      </c>
      <c r="E157" t="str">
        <f>CONCATENATE("0120220000060       ","")</f>
        <v xml:space="preserve">0120220000060       </v>
      </c>
      <c r="F157" t="str">
        <f>CONCATENATE("605284567","")</f>
        <v>605284567</v>
      </c>
      <c r="G157" t="s">
        <v>349</v>
      </c>
      <c r="H157" t="s">
        <v>352</v>
      </c>
      <c r="I157" t="s">
        <v>353</v>
      </c>
      <c r="J157" t="str">
        <f t="shared" ref="J157:J190" si="21">CONCATENATE("081202","")</f>
        <v>081202</v>
      </c>
      <c r="K157" t="s">
        <v>22</v>
      </c>
      <c r="L157" t="s">
        <v>23</v>
      </c>
      <c r="M157" t="str">
        <f>CONCATENATE("1","")</f>
        <v>1</v>
      </c>
      <c r="O157" t="str">
        <f t="shared" si="19"/>
        <v xml:space="preserve">1 </v>
      </c>
      <c r="P157">
        <v>43.85</v>
      </c>
      <c r="Q157" t="s">
        <v>24</v>
      </c>
    </row>
    <row r="158" spans="1:17" x14ac:dyDescent="0.25">
      <c r="A158" t="s">
        <v>17</v>
      </c>
      <c r="B158" s="1">
        <v>41718</v>
      </c>
      <c r="C158" t="s">
        <v>289</v>
      </c>
      <c r="D158" t="str">
        <f>CONCATENATE("0060010723","")</f>
        <v>0060010723</v>
      </c>
      <c r="E158" t="str">
        <f>CONCATENATE("0120220000135       ","")</f>
        <v xml:space="preserve">0120220000135       </v>
      </c>
      <c r="F158" t="str">
        <f>CONCATENATE("8302386","")</f>
        <v>8302386</v>
      </c>
      <c r="G158" t="s">
        <v>349</v>
      </c>
      <c r="H158" t="s">
        <v>354</v>
      </c>
      <c r="I158" t="s">
        <v>351</v>
      </c>
      <c r="J158" t="str">
        <f t="shared" si="21"/>
        <v>081202</v>
      </c>
      <c r="K158" t="s">
        <v>22</v>
      </c>
      <c r="L158" t="s">
        <v>23</v>
      </c>
      <c r="M158" t="str">
        <f>CONCATENATE("1","")</f>
        <v>1</v>
      </c>
      <c r="O158" t="str">
        <f t="shared" si="19"/>
        <v xml:space="preserve">1 </v>
      </c>
      <c r="P158">
        <v>27.35</v>
      </c>
      <c r="Q158" t="s">
        <v>24</v>
      </c>
    </row>
    <row r="159" spans="1:17" x14ac:dyDescent="0.25">
      <c r="A159" t="s">
        <v>17</v>
      </c>
      <c r="B159" s="1">
        <v>41718</v>
      </c>
      <c r="C159" t="s">
        <v>289</v>
      </c>
      <c r="D159" t="str">
        <f>CONCATENATE("0060008123","")</f>
        <v>0060008123</v>
      </c>
      <c r="E159" t="str">
        <f>CONCATENATE("0120220000165       ","")</f>
        <v xml:space="preserve">0120220000165       </v>
      </c>
      <c r="F159" t="str">
        <f>CONCATENATE("00005617162","")</f>
        <v>00005617162</v>
      </c>
      <c r="G159" t="s">
        <v>349</v>
      </c>
      <c r="H159" t="s">
        <v>355</v>
      </c>
      <c r="I159" t="s">
        <v>356</v>
      </c>
      <c r="J159" t="str">
        <f t="shared" si="21"/>
        <v>081202</v>
      </c>
      <c r="K159" t="s">
        <v>22</v>
      </c>
      <c r="L159" t="s">
        <v>23</v>
      </c>
      <c r="M159" t="str">
        <f>CONCATENATE("3","")</f>
        <v>3</v>
      </c>
      <c r="O159" t="str">
        <f t="shared" si="19"/>
        <v xml:space="preserve">1 </v>
      </c>
      <c r="P159">
        <v>421.4</v>
      </c>
      <c r="Q159" t="s">
        <v>28</v>
      </c>
    </row>
    <row r="160" spans="1:17" x14ac:dyDescent="0.25">
      <c r="A160" t="s">
        <v>17</v>
      </c>
      <c r="B160" s="1">
        <v>41718</v>
      </c>
      <c r="C160" t="s">
        <v>289</v>
      </c>
      <c r="D160" t="str">
        <f>CONCATENATE("0060015807","")</f>
        <v>0060015807</v>
      </c>
      <c r="E160" t="str">
        <f>CONCATENATE("0120220000176       ","")</f>
        <v xml:space="preserve">0120220000176       </v>
      </c>
      <c r="F160" t="str">
        <f>CONCATENATE("507008922","")</f>
        <v>507008922</v>
      </c>
      <c r="G160" t="s">
        <v>349</v>
      </c>
      <c r="H160" t="s">
        <v>357</v>
      </c>
      <c r="I160" t="s">
        <v>358</v>
      </c>
      <c r="J160" t="str">
        <f t="shared" si="21"/>
        <v>081202</v>
      </c>
      <c r="K160" t="s">
        <v>22</v>
      </c>
      <c r="L160" t="s">
        <v>23</v>
      </c>
      <c r="M160" t="str">
        <f>CONCATENATE("3","")</f>
        <v>3</v>
      </c>
      <c r="O160" t="str">
        <f t="shared" si="19"/>
        <v xml:space="preserve">1 </v>
      </c>
      <c r="P160">
        <v>21.35</v>
      </c>
      <c r="Q160" t="s">
        <v>28</v>
      </c>
    </row>
    <row r="161" spans="1:17" x14ac:dyDescent="0.25">
      <c r="A161" t="s">
        <v>17</v>
      </c>
      <c r="B161" s="1">
        <v>41718</v>
      </c>
      <c r="C161" t="s">
        <v>289</v>
      </c>
      <c r="D161" t="str">
        <f>CONCATENATE("0060002737","")</f>
        <v>0060002737</v>
      </c>
      <c r="E161" t="str">
        <f>CONCATENATE("0120220000180       ","")</f>
        <v xml:space="preserve">0120220000180       </v>
      </c>
      <c r="F161" t="str">
        <f>CONCATENATE("605762876","")</f>
        <v>605762876</v>
      </c>
      <c r="G161" t="s">
        <v>349</v>
      </c>
      <c r="H161" t="s">
        <v>359</v>
      </c>
      <c r="I161" t="s">
        <v>360</v>
      </c>
      <c r="J161" t="str">
        <f t="shared" si="21"/>
        <v>081202</v>
      </c>
      <c r="K161" t="s">
        <v>22</v>
      </c>
      <c r="L161" t="s">
        <v>23</v>
      </c>
      <c r="M161" t="str">
        <f t="shared" ref="M161:M176" si="22">CONCATENATE("1","")</f>
        <v>1</v>
      </c>
      <c r="O161" t="str">
        <f t="shared" si="19"/>
        <v xml:space="preserve">1 </v>
      </c>
      <c r="P161">
        <v>40.200000000000003</v>
      </c>
      <c r="Q161" t="s">
        <v>24</v>
      </c>
    </row>
    <row r="162" spans="1:17" x14ac:dyDescent="0.25">
      <c r="A162" t="s">
        <v>17</v>
      </c>
      <c r="B162" s="1">
        <v>41718</v>
      </c>
      <c r="C162" t="s">
        <v>289</v>
      </c>
      <c r="D162" t="str">
        <f>CONCATENATE("0060010655","")</f>
        <v>0060010655</v>
      </c>
      <c r="E162" t="str">
        <f>CONCATENATE("0120220000392       ","")</f>
        <v xml:space="preserve">0120220000392       </v>
      </c>
      <c r="F162" t="str">
        <f>CONCATENATE("1857","")</f>
        <v>1857</v>
      </c>
      <c r="G162" t="s">
        <v>349</v>
      </c>
      <c r="H162" t="s">
        <v>361</v>
      </c>
      <c r="I162" t="s">
        <v>362</v>
      </c>
      <c r="J162" t="str">
        <f t="shared" si="21"/>
        <v>081202</v>
      </c>
      <c r="K162" t="s">
        <v>22</v>
      </c>
      <c r="L162" t="s">
        <v>23</v>
      </c>
      <c r="M162" t="str">
        <f t="shared" si="22"/>
        <v>1</v>
      </c>
      <c r="O162" t="str">
        <f>CONCATENATE("2 ","")</f>
        <v xml:space="preserve">2 </v>
      </c>
      <c r="P162">
        <v>17.100000000000001</v>
      </c>
      <c r="Q162" t="s">
        <v>24</v>
      </c>
    </row>
    <row r="163" spans="1:17" x14ac:dyDescent="0.25">
      <c r="A163" t="s">
        <v>17</v>
      </c>
      <c r="B163" s="1">
        <v>41718</v>
      </c>
      <c r="C163" t="s">
        <v>289</v>
      </c>
      <c r="D163" t="str">
        <f>CONCATENATE("0060010538","")</f>
        <v>0060010538</v>
      </c>
      <c r="E163" t="str">
        <f>CONCATENATE("0120220000446       ","")</f>
        <v xml:space="preserve">0120220000446       </v>
      </c>
      <c r="F163" t="str">
        <f>CONCATENATE("503003366","")</f>
        <v>503003366</v>
      </c>
      <c r="G163" t="s">
        <v>349</v>
      </c>
      <c r="H163" t="s">
        <v>363</v>
      </c>
      <c r="I163" t="s">
        <v>364</v>
      </c>
      <c r="J163" t="str">
        <f t="shared" si="21"/>
        <v>081202</v>
      </c>
      <c r="K163" t="s">
        <v>22</v>
      </c>
      <c r="L163" t="s">
        <v>23</v>
      </c>
      <c r="M163" t="str">
        <f t="shared" si="22"/>
        <v>1</v>
      </c>
      <c r="O163" t="str">
        <f t="shared" ref="O163:O176" si="23">CONCATENATE("1 ","")</f>
        <v xml:space="preserve">1 </v>
      </c>
      <c r="P163">
        <v>41.95</v>
      </c>
      <c r="Q163" t="s">
        <v>24</v>
      </c>
    </row>
    <row r="164" spans="1:17" x14ac:dyDescent="0.25">
      <c r="A164" t="s">
        <v>17</v>
      </c>
      <c r="B164" s="1">
        <v>41718</v>
      </c>
      <c r="C164" t="s">
        <v>289</v>
      </c>
      <c r="D164" t="str">
        <f>CONCATENATE("0060012033","")</f>
        <v>0060012033</v>
      </c>
      <c r="E164" t="str">
        <f>CONCATENATE("0120220000489       ","")</f>
        <v xml:space="preserve">0120220000489       </v>
      </c>
      <c r="F164" t="str">
        <f>CONCATENATE("605121062","")</f>
        <v>605121062</v>
      </c>
      <c r="G164" t="s">
        <v>349</v>
      </c>
      <c r="H164" t="s">
        <v>365</v>
      </c>
      <c r="I164" t="s">
        <v>366</v>
      </c>
      <c r="J164" t="str">
        <f t="shared" si="21"/>
        <v>081202</v>
      </c>
      <c r="K164" t="s">
        <v>22</v>
      </c>
      <c r="L164" t="s">
        <v>23</v>
      </c>
      <c r="M164" t="str">
        <f t="shared" si="22"/>
        <v>1</v>
      </c>
      <c r="O164" t="str">
        <f t="shared" si="23"/>
        <v xml:space="preserve">1 </v>
      </c>
      <c r="P164">
        <v>14.7</v>
      </c>
      <c r="Q164" t="s">
        <v>24</v>
      </c>
    </row>
    <row r="165" spans="1:17" x14ac:dyDescent="0.25">
      <c r="A165" t="s">
        <v>17</v>
      </c>
      <c r="B165" s="1">
        <v>41718</v>
      </c>
      <c r="C165" t="s">
        <v>289</v>
      </c>
      <c r="D165" t="str">
        <f>CONCATENATE("0060018530","")</f>
        <v>0060018530</v>
      </c>
      <c r="E165" t="str">
        <f>CONCATENATE("0120220000940       ","")</f>
        <v xml:space="preserve">0120220000940       </v>
      </c>
      <c r="F165" t="str">
        <f>CONCATENATE("606601559","")</f>
        <v>606601559</v>
      </c>
      <c r="G165" t="s">
        <v>349</v>
      </c>
      <c r="H165" t="s">
        <v>367</v>
      </c>
      <c r="I165" t="s">
        <v>368</v>
      </c>
      <c r="J165" t="str">
        <f t="shared" si="21"/>
        <v>081202</v>
      </c>
      <c r="K165" t="s">
        <v>22</v>
      </c>
      <c r="L165" t="s">
        <v>23</v>
      </c>
      <c r="M165" t="str">
        <f t="shared" si="22"/>
        <v>1</v>
      </c>
      <c r="O165" t="str">
        <f t="shared" si="23"/>
        <v xml:space="preserve">1 </v>
      </c>
      <c r="P165">
        <v>11.4</v>
      </c>
      <c r="Q165" t="s">
        <v>24</v>
      </c>
    </row>
    <row r="166" spans="1:17" x14ac:dyDescent="0.25">
      <c r="A166" t="s">
        <v>17</v>
      </c>
      <c r="B166" s="1">
        <v>41718</v>
      </c>
      <c r="C166" t="s">
        <v>289</v>
      </c>
      <c r="D166" t="str">
        <f>CONCATENATE("0060016594","")</f>
        <v>0060016594</v>
      </c>
      <c r="E166" t="str">
        <f>CONCATENATE("0120222000020       ","")</f>
        <v xml:space="preserve">0120222000020       </v>
      </c>
      <c r="F166" t="str">
        <f>CONCATENATE("606174400","")</f>
        <v>606174400</v>
      </c>
      <c r="G166" t="s">
        <v>369</v>
      </c>
      <c r="H166" t="s">
        <v>370</v>
      </c>
      <c r="I166" t="s">
        <v>371</v>
      </c>
      <c r="J166" t="str">
        <f t="shared" si="21"/>
        <v>081202</v>
      </c>
      <c r="K166" t="s">
        <v>22</v>
      </c>
      <c r="L166" t="s">
        <v>23</v>
      </c>
      <c r="M166" t="str">
        <f t="shared" si="22"/>
        <v>1</v>
      </c>
      <c r="O166" t="str">
        <f t="shared" si="23"/>
        <v xml:space="preserve">1 </v>
      </c>
      <c r="P166">
        <v>18.5</v>
      </c>
      <c r="Q166" t="s">
        <v>24</v>
      </c>
    </row>
    <row r="167" spans="1:17" x14ac:dyDescent="0.25">
      <c r="A167" t="s">
        <v>17</v>
      </c>
      <c r="B167" s="1">
        <v>41718</v>
      </c>
      <c r="C167" t="s">
        <v>289</v>
      </c>
      <c r="D167" t="str">
        <f>CONCATENATE("0060016576","")</f>
        <v>0060016576</v>
      </c>
      <c r="E167" t="str">
        <f>CONCATENATE("0120222000240       ","")</f>
        <v xml:space="preserve">0120222000240       </v>
      </c>
      <c r="F167" t="str">
        <f>CONCATENATE("606174397","")</f>
        <v>606174397</v>
      </c>
      <c r="G167" t="s">
        <v>369</v>
      </c>
      <c r="H167" t="s">
        <v>372</v>
      </c>
      <c r="I167" t="s">
        <v>371</v>
      </c>
      <c r="J167" t="str">
        <f t="shared" si="21"/>
        <v>081202</v>
      </c>
      <c r="K167" t="s">
        <v>22</v>
      </c>
      <c r="L167" t="s">
        <v>23</v>
      </c>
      <c r="M167" t="str">
        <f t="shared" si="22"/>
        <v>1</v>
      </c>
      <c r="O167" t="str">
        <f t="shared" si="23"/>
        <v xml:space="preserve">1 </v>
      </c>
      <c r="P167">
        <v>11</v>
      </c>
      <c r="Q167" t="s">
        <v>24</v>
      </c>
    </row>
    <row r="168" spans="1:17" x14ac:dyDescent="0.25">
      <c r="A168" t="s">
        <v>17</v>
      </c>
      <c r="B168" s="1">
        <v>41718</v>
      </c>
      <c r="C168" t="s">
        <v>289</v>
      </c>
      <c r="D168" t="str">
        <f>CONCATENATE("0060010475","")</f>
        <v>0060010475</v>
      </c>
      <c r="E168" t="str">
        <f>CONCATENATE("0120225000032       ","")</f>
        <v xml:space="preserve">0120225000032       </v>
      </c>
      <c r="F168" t="str">
        <f>CONCATENATE("503003514","")</f>
        <v>503003514</v>
      </c>
      <c r="G168" t="s">
        <v>373</v>
      </c>
      <c r="H168" t="s">
        <v>374</v>
      </c>
      <c r="I168" t="s">
        <v>375</v>
      </c>
      <c r="J168" t="str">
        <f t="shared" si="21"/>
        <v>081202</v>
      </c>
      <c r="K168" t="s">
        <v>22</v>
      </c>
      <c r="L168" t="s">
        <v>23</v>
      </c>
      <c r="M168" t="str">
        <f t="shared" si="22"/>
        <v>1</v>
      </c>
      <c r="O168" t="str">
        <f t="shared" si="23"/>
        <v xml:space="preserve">1 </v>
      </c>
      <c r="P168">
        <v>19.899999999999999</v>
      </c>
      <c r="Q168" t="s">
        <v>24</v>
      </c>
    </row>
    <row r="169" spans="1:17" x14ac:dyDescent="0.25">
      <c r="A169" t="s">
        <v>17</v>
      </c>
      <c r="B169" s="1">
        <v>41718</v>
      </c>
      <c r="C169" t="s">
        <v>289</v>
      </c>
      <c r="D169" t="str">
        <f>CONCATENATE("0060002814","")</f>
        <v>0060002814</v>
      </c>
      <c r="E169" t="str">
        <f>CONCATENATE("0120225000140       ","")</f>
        <v xml:space="preserve">0120225000140       </v>
      </c>
      <c r="F169" t="str">
        <f>CONCATENATE("4026650","")</f>
        <v>4026650</v>
      </c>
      <c r="G169" t="s">
        <v>373</v>
      </c>
      <c r="H169" t="s">
        <v>376</v>
      </c>
      <c r="I169" t="s">
        <v>377</v>
      </c>
      <c r="J169" t="str">
        <f t="shared" si="21"/>
        <v>081202</v>
      </c>
      <c r="K169" t="s">
        <v>22</v>
      </c>
      <c r="L169" t="s">
        <v>23</v>
      </c>
      <c r="M169" t="str">
        <f t="shared" si="22"/>
        <v>1</v>
      </c>
      <c r="O169" t="str">
        <f t="shared" si="23"/>
        <v xml:space="preserve">1 </v>
      </c>
      <c r="P169">
        <v>102.35</v>
      </c>
      <c r="Q169" t="s">
        <v>24</v>
      </c>
    </row>
    <row r="170" spans="1:17" x14ac:dyDescent="0.25">
      <c r="A170" t="s">
        <v>17</v>
      </c>
      <c r="B170" s="1">
        <v>41718</v>
      </c>
      <c r="C170" t="s">
        <v>289</v>
      </c>
      <c r="D170" t="str">
        <f>CONCATENATE("0060002816","")</f>
        <v>0060002816</v>
      </c>
      <c r="E170" t="str">
        <f>CONCATENATE("0120225000160       ","")</f>
        <v xml:space="preserve">0120225000160       </v>
      </c>
      <c r="F170" t="str">
        <f>CONCATENATE("4008335","")</f>
        <v>4008335</v>
      </c>
      <c r="G170" t="s">
        <v>373</v>
      </c>
      <c r="H170" t="s">
        <v>378</v>
      </c>
      <c r="I170" t="s">
        <v>377</v>
      </c>
      <c r="J170" t="str">
        <f t="shared" si="21"/>
        <v>081202</v>
      </c>
      <c r="K170" t="s">
        <v>22</v>
      </c>
      <c r="L170" t="s">
        <v>23</v>
      </c>
      <c r="M170" t="str">
        <f t="shared" si="22"/>
        <v>1</v>
      </c>
      <c r="O170" t="str">
        <f t="shared" si="23"/>
        <v xml:space="preserve">1 </v>
      </c>
      <c r="P170">
        <v>13</v>
      </c>
      <c r="Q170" t="s">
        <v>24</v>
      </c>
    </row>
    <row r="171" spans="1:17" x14ac:dyDescent="0.25">
      <c r="A171" t="s">
        <v>17</v>
      </c>
      <c r="B171" s="1">
        <v>41718</v>
      </c>
      <c r="C171" t="s">
        <v>289</v>
      </c>
      <c r="D171" t="str">
        <f>CONCATENATE("0060010305","")</f>
        <v>0060010305</v>
      </c>
      <c r="E171" t="str">
        <f>CONCATENATE("0120225000410       ","")</f>
        <v xml:space="preserve">0120225000410       </v>
      </c>
      <c r="F171" t="str">
        <f>CONCATENATE("606593642","")</f>
        <v>606593642</v>
      </c>
      <c r="G171" t="s">
        <v>373</v>
      </c>
      <c r="H171" t="s">
        <v>379</v>
      </c>
      <c r="I171" t="s">
        <v>380</v>
      </c>
      <c r="J171" t="str">
        <f t="shared" si="21"/>
        <v>081202</v>
      </c>
      <c r="K171" t="s">
        <v>22</v>
      </c>
      <c r="L171" t="s">
        <v>23</v>
      </c>
      <c r="M171" t="str">
        <f t="shared" si="22"/>
        <v>1</v>
      </c>
      <c r="O171" t="str">
        <f t="shared" si="23"/>
        <v xml:space="preserve">1 </v>
      </c>
      <c r="P171">
        <v>21.35</v>
      </c>
      <c r="Q171" t="s">
        <v>24</v>
      </c>
    </row>
    <row r="172" spans="1:17" x14ac:dyDescent="0.25">
      <c r="A172" t="s">
        <v>17</v>
      </c>
      <c r="B172" s="1">
        <v>41718</v>
      </c>
      <c r="C172" t="s">
        <v>289</v>
      </c>
      <c r="D172" t="str">
        <f>CONCATENATE("0060018102","")</f>
        <v>0060018102</v>
      </c>
      <c r="E172" t="str">
        <f>CONCATENATE("0120225000498       ","")</f>
        <v xml:space="preserve">0120225000498       </v>
      </c>
      <c r="F172" t="str">
        <f>CONCATENATE("2121852","")</f>
        <v>2121852</v>
      </c>
      <c r="G172" t="s">
        <v>373</v>
      </c>
      <c r="H172" t="s">
        <v>381</v>
      </c>
      <c r="I172" t="s">
        <v>382</v>
      </c>
      <c r="J172" t="str">
        <f t="shared" si="21"/>
        <v>081202</v>
      </c>
      <c r="K172" t="s">
        <v>22</v>
      </c>
      <c r="L172" t="s">
        <v>23</v>
      </c>
      <c r="M172" t="str">
        <f t="shared" si="22"/>
        <v>1</v>
      </c>
      <c r="O172" t="str">
        <f t="shared" si="23"/>
        <v xml:space="preserve">1 </v>
      </c>
      <c r="P172">
        <v>11.35</v>
      </c>
      <c r="Q172" t="s">
        <v>24</v>
      </c>
    </row>
    <row r="173" spans="1:17" x14ac:dyDescent="0.25">
      <c r="A173" t="s">
        <v>17</v>
      </c>
      <c r="B173" s="1">
        <v>41718</v>
      </c>
      <c r="C173" t="s">
        <v>289</v>
      </c>
      <c r="D173" t="str">
        <f>CONCATENATE("0060002861","")</f>
        <v>0060002861</v>
      </c>
      <c r="E173" t="str">
        <f>CONCATENATE("0120226000070       ","")</f>
        <v xml:space="preserve">0120226000070       </v>
      </c>
      <c r="F173" t="str">
        <f>CONCATENATE("1933530","")</f>
        <v>1933530</v>
      </c>
      <c r="G173" t="s">
        <v>383</v>
      </c>
      <c r="H173" t="s">
        <v>384</v>
      </c>
      <c r="I173" t="s">
        <v>385</v>
      </c>
      <c r="J173" t="str">
        <f t="shared" si="21"/>
        <v>081202</v>
      </c>
      <c r="K173" t="s">
        <v>22</v>
      </c>
      <c r="L173" t="s">
        <v>23</v>
      </c>
      <c r="M173" t="str">
        <f t="shared" si="22"/>
        <v>1</v>
      </c>
      <c r="O173" t="str">
        <f t="shared" si="23"/>
        <v xml:space="preserve">1 </v>
      </c>
      <c r="P173">
        <v>50.05</v>
      </c>
      <c r="Q173" t="s">
        <v>24</v>
      </c>
    </row>
    <row r="174" spans="1:17" x14ac:dyDescent="0.25">
      <c r="A174" t="s">
        <v>17</v>
      </c>
      <c r="B174" s="1">
        <v>41718</v>
      </c>
      <c r="C174" t="s">
        <v>289</v>
      </c>
      <c r="D174" t="str">
        <f>CONCATENATE("0060011508","")</f>
        <v>0060011508</v>
      </c>
      <c r="E174" t="str">
        <f>CONCATENATE("0120226000085       ","")</f>
        <v xml:space="preserve">0120226000085       </v>
      </c>
      <c r="F174" t="str">
        <f>CONCATENATE("01240670","")</f>
        <v>01240670</v>
      </c>
      <c r="G174" t="s">
        <v>383</v>
      </c>
      <c r="H174" t="s">
        <v>386</v>
      </c>
      <c r="I174" t="s">
        <v>387</v>
      </c>
      <c r="J174" t="str">
        <f t="shared" si="21"/>
        <v>081202</v>
      </c>
      <c r="K174" t="s">
        <v>22</v>
      </c>
      <c r="L174" t="s">
        <v>23</v>
      </c>
      <c r="M174" t="str">
        <f t="shared" si="22"/>
        <v>1</v>
      </c>
      <c r="O174" t="str">
        <f t="shared" si="23"/>
        <v xml:space="preserve">1 </v>
      </c>
      <c r="P174">
        <v>45.55</v>
      </c>
      <c r="Q174" t="s">
        <v>24</v>
      </c>
    </row>
    <row r="175" spans="1:17" x14ac:dyDescent="0.25">
      <c r="A175" t="s">
        <v>17</v>
      </c>
      <c r="B175" s="1">
        <v>41718</v>
      </c>
      <c r="C175" t="s">
        <v>289</v>
      </c>
      <c r="D175" t="str">
        <f>CONCATENATE("0060002868","")</f>
        <v>0060002868</v>
      </c>
      <c r="E175" t="str">
        <f>CONCATENATE("0120226000140       ","")</f>
        <v xml:space="preserve">0120226000140       </v>
      </c>
      <c r="F175" t="str">
        <f>CONCATENATE("605354615","")</f>
        <v>605354615</v>
      </c>
      <c r="G175" t="s">
        <v>383</v>
      </c>
      <c r="H175" t="s">
        <v>388</v>
      </c>
      <c r="I175" t="s">
        <v>385</v>
      </c>
      <c r="J175" t="str">
        <f t="shared" si="21"/>
        <v>081202</v>
      </c>
      <c r="K175" t="s">
        <v>22</v>
      </c>
      <c r="L175" t="s">
        <v>23</v>
      </c>
      <c r="M175" t="str">
        <f t="shared" si="22"/>
        <v>1</v>
      </c>
      <c r="O175" t="str">
        <f t="shared" si="23"/>
        <v xml:space="preserve">1 </v>
      </c>
      <c r="P175">
        <v>26.05</v>
      </c>
      <c r="Q175" t="s">
        <v>24</v>
      </c>
    </row>
    <row r="176" spans="1:17" x14ac:dyDescent="0.25">
      <c r="A176" t="s">
        <v>17</v>
      </c>
      <c r="B176" s="1">
        <v>41718</v>
      </c>
      <c r="C176" t="s">
        <v>289</v>
      </c>
      <c r="D176" t="str">
        <f>CONCATENATE("0060002872","")</f>
        <v>0060002872</v>
      </c>
      <c r="E176" t="str">
        <f>CONCATENATE("0120226000180       ","")</f>
        <v xml:space="preserve">0120226000180       </v>
      </c>
      <c r="F176" t="str">
        <f>CONCATENATE("605055461","")</f>
        <v>605055461</v>
      </c>
      <c r="G176" t="s">
        <v>383</v>
      </c>
      <c r="H176" t="s">
        <v>389</v>
      </c>
      <c r="I176" t="s">
        <v>385</v>
      </c>
      <c r="J176" t="str">
        <f t="shared" si="21"/>
        <v>081202</v>
      </c>
      <c r="K176" t="s">
        <v>22</v>
      </c>
      <c r="L176" t="s">
        <v>23</v>
      </c>
      <c r="M176" t="str">
        <f t="shared" si="22"/>
        <v>1</v>
      </c>
      <c r="O176" t="str">
        <f t="shared" si="23"/>
        <v xml:space="preserve">1 </v>
      </c>
      <c r="P176">
        <v>96.9</v>
      </c>
      <c r="Q176" t="s">
        <v>24</v>
      </c>
    </row>
    <row r="177" spans="1:17" x14ac:dyDescent="0.25">
      <c r="A177" t="s">
        <v>17</v>
      </c>
      <c r="B177" s="1">
        <v>41718</v>
      </c>
      <c r="C177" t="s">
        <v>289</v>
      </c>
      <c r="D177" t="str">
        <f>CONCATENATE("0060015564","")</f>
        <v>0060015564</v>
      </c>
      <c r="E177" t="str">
        <f>CONCATENATE("0120226000185       ","")</f>
        <v xml:space="preserve">0120226000185       </v>
      </c>
      <c r="F177" t="str">
        <f>CONCATENATE("507008936","")</f>
        <v>507008936</v>
      </c>
      <c r="G177" t="s">
        <v>383</v>
      </c>
      <c r="H177" t="s">
        <v>390</v>
      </c>
      <c r="I177" t="s">
        <v>391</v>
      </c>
      <c r="J177" t="str">
        <f t="shared" si="21"/>
        <v>081202</v>
      </c>
      <c r="K177" t="s">
        <v>22</v>
      </c>
      <c r="L177" t="s">
        <v>23</v>
      </c>
      <c r="M177" t="str">
        <f>CONCATENATE("3","")</f>
        <v>3</v>
      </c>
      <c r="O177" t="str">
        <f>CONCATENATE("3 ","")</f>
        <v xml:space="preserve">3 </v>
      </c>
      <c r="P177">
        <v>28.4</v>
      </c>
      <c r="Q177" t="s">
        <v>28</v>
      </c>
    </row>
    <row r="178" spans="1:17" x14ac:dyDescent="0.25">
      <c r="A178" t="s">
        <v>17</v>
      </c>
      <c r="B178" s="1">
        <v>41718</v>
      </c>
      <c r="C178" t="s">
        <v>289</v>
      </c>
      <c r="D178" t="str">
        <f>CONCATENATE("0060002874","")</f>
        <v>0060002874</v>
      </c>
      <c r="E178" t="str">
        <f>CONCATENATE("0120226000200       ","")</f>
        <v xml:space="preserve">0120226000200       </v>
      </c>
      <c r="F178" t="str">
        <f>CONCATENATE("605055441","")</f>
        <v>605055441</v>
      </c>
      <c r="G178" t="s">
        <v>383</v>
      </c>
      <c r="H178" t="s">
        <v>392</v>
      </c>
      <c r="I178" t="s">
        <v>385</v>
      </c>
      <c r="J178" t="str">
        <f t="shared" si="21"/>
        <v>081202</v>
      </c>
      <c r="K178" t="s">
        <v>22</v>
      </c>
      <c r="L178" t="s">
        <v>23</v>
      </c>
      <c r="M178" t="str">
        <f t="shared" ref="M178:M241" si="24">CONCATENATE("1","")</f>
        <v>1</v>
      </c>
      <c r="O178" t="str">
        <f>CONCATENATE("3 ","")</f>
        <v xml:space="preserve">3 </v>
      </c>
      <c r="P178">
        <v>47.2</v>
      </c>
      <c r="Q178" t="s">
        <v>24</v>
      </c>
    </row>
    <row r="179" spans="1:17" x14ac:dyDescent="0.25">
      <c r="A179" t="s">
        <v>17</v>
      </c>
      <c r="B179" s="1">
        <v>41718</v>
      </c>
      <c r="C179" t="s">
        <v>289</v>
      </c>
      <c r="D179" t="str">
        <f>CONCATENATE("0060002877","")</f>
        <v>0060002877</v>
      </c>
      <c r="E179" t="str">
        <f>CONCATENATE("0120226000230       ","")</f>
        <v xml:space="preserve">0120226000230       </v>
      </c>
      <c r="F179" t="str">
        <f>CONCATENATE("605055445","")</f>
        <v>605055445</v>
      </c>
      <c r="G179" t="s">
        <v>383</v>
      </c>
      <c r="H179" t="s">
        <v>339</v>
      </c>
      <c r="I179" t="s">
        <v>385</v>
      </c>
      <c r="J179" t="str">
        <f t="shared" si="21"/>
        <v>081202</v>
      </c>
      <c r="K179" t="s">
        <v>22</v>
      </c>
      <c r="L179" t="s">
        <v>23</v>
      </c>
      <c r="M179" t="str">
        <f t="shared" si="24"/>
        <v>1</v>
      </c>
      <c r="O179" t="str">
        <f t="shared" ref="O179:O186" si="25">CONCATENATE("1 ","")</f>
        <v xml:space="preserve">1 </v>
      </c>
      <c r="P179">
        <v>13.9</v>
      </c>
      <c r="Q179" t="s">
        <v>24</v>
      </c>
    </row>
    <row r="180" spans="1:17" x14ac:dyDescent="0.25">
      <c r="A180" t="s">
        <v>17</v>
      </c>
      <c r="B180" s="1">
        <v>41718</v>
      </c>
      <c r="C180" t="s">
        <v>289</v>
      </c>
      <c r="D180" t="str">
        <f>CONCATENATE("0060008249","")</f>
        <v>0060008249</v>
      </c>
      <c r="E180" t="str">
        <f>CONCATENATE("0120226000235       ","")</f>
        <v xml:space="preserve">0120226000235       </v>
      </c>
      <c r="F180" t="str">
        <f>CONCATENATE("605631106","")</f>
        <v>605631106</v>
      </c>
      <c r="G180" t="s">
        <v>393</v>
      </c>
      <c r="H180" t="s">
        <v>394</v>
      </c>
      <c r="I180" t="s">
        <v>395</v>
      </c>
      <c r="J180" t="str">
        <f t="shared" si="21"/>
        <v>081202</v>
      </c>
      <c r="K180" t="s">
        <v>22</v>
      </c>
      <c r="L180" t="s">
        <v>23</v>
      </c>
      <c r="M180" t="str">
        <f t="shared" si="24"/>
        <v>1</v>
      </c>
      <c r="O180" t="str">
        <f t="shared" si="25"/>
        <v xml:space="preserve">1 </v>
      </c>
      <c r="P180">
        <v>25.4</v>
      </c>
      <c r="Q180" t="s">
        <v>24</v>
      </c>
    </row>
    <row r="181" spans="1:17" x14ac:dyDescent="0.25">
      <c r="A181" t="s">
        <v>17</v>
      </c>
      <c r="B181" s="1">
        <v>41718</v>
      </c>
      <c r="C181" t="s">
        <v>289</v>
      </c>
      <c r="D181" t="str">
        <f>CONCATENATE("0060012285","")</f>
        <v>0060012285</v>
      </c>
      <c r="E181" t="str">
        <f>CONCATENATE("0120226000280       ","")</f>
        <v xml:space="preserve">0120226000280       </v>
      </c>
      <c r="F181" t="str">
        <f>CONCATENATE("605120634","")</f>
        <v>605120634</v>
      </c>
      <c r="G181" t="s">
        <v>383</v>
      </c>
      <c r="H181" t="s">
        <v>396</v>
      </c>
      <c r="I181" t="s">
        <v>397</v>
      </c>
      <c r="J181" t="str">
        <f t="shared" si="21"/>
        <v>081202</v>
      </c>
      <c r="K181" t="s">
        <v>22</v>
      </c>
      <c r="L181" t="s">
        <v>23</v>
      </c>
      <c r="M181" t="str">
        <f t="shared" si="24"/>
        <v>1</v>
      </c>
      <c r="O181" t="str">
        <f t="shared" si="25"/>
        <v xml:space="preserve">1 </v>
      </c>
      <c r="P181">
        <v>32.1</v>
      </c>
      <c r="Q181" t="s">
        <v>24</v>
      </c>
    </row>
    <row r="182" spans="1:17" x14ac:dyDescent="0.25">
      <c r="A182" t="s">
        <v>17</v>
      </c>
      <c r="B182" s="1">
        <v>41718</v>
      </c>
      <c r="C182" t="s">
        <v>289</v>
      </c>
      <c r="D182" t="str">
        <f>CONCATENATE("0060011473","")</f>
        <v>0060011473</v>
      </c>
      <c r="E182" t="str">
        <f>CONCATENATE("0120226000365       ","")</f>
        <v xml:space="preserve">0120226000365       </v>
      </c>
      <c r="F182" t="str">
        <f>CONCATENATE("01116851","")</f>
        <v>01116851</v>
      </c>
      <c r="G182" t="s">
        <v>383</v>
      </c>
      <c r="H182" t="s">
        <v>398</v>
      </c>
      <c r="I182" t="s">
        <v>399</v>
      </c>
      <c r="J182" t="str">
        <f t="shared" si="21"/>
        <v>081202</v>
      </c>
      <c r="K182" t="s">
        <v>22</v>
      </c>
      <c r="L182" t="s">
        <v>23</v>
      </c>
      <c r="M182" t="str">
        <f t="shared" si="24"/>
        <v>1</v>
      </c>
      <c r="O182" t="str">
        <f t="shared" si="25"/>
        <v xml:space="preserve">1 </v>
      </c>
      <c r="P182">
        <v>20.65</v>
      </c>
      <c r="Q182" t="s">
        <v>24</v>
      </c>
    </row>
    <row r="183" spans="1:17" x14ac:dyDescent="0.25">
      <c r="A183" t="s">
        <v>17</v>
      </c>
      <c r="B183" s="1">
        <v>41718</v>
      </c>
      <c r="C183" t="s">
        <v>289</v>
      </c>
      <c r="D183" t="str">
        <f>CONCATENATE("0060002889","")</f>
        <v>0060002889</v>
      </c>
      <c r="E183" t="str">
        <f>CONCATENATE("0120226000370       ","")</f>
        <v xml:space="preserve">0120226000370       </v>
      </c>
      <c r="F183" t="str">
        <f>CONCATENATE("605055462","")</f>
        <v>605055462</v>
      </c>
      <c r="G183" t="s">
        <v>383</v>
      </c>
      <c r="H183" t="s">
        <v>400</v>
      </c>
      <c r="I183" t="s">
        <v>385</v>
      </c>
      <c r="J183" t="str">
        <f t="shared" si="21"/>
        <v>081202</v>
      </c>
      <c r="K183" t="s">
        <v>22</v>
      </c>
      <c r="L183" t="s">
        <v>23</v>
      </c>
      <c r="M183" t="str">
        <f t="shared" si="24"/>
        <v>1</v>
      </c>
      <c r="O183" t="str">
        <f t="shared" si="25"/>
        <v xml:space="preserve">1 </v>
      </c>
      <c r="P183">
        <v>23.25</v>
      </c>
      <c r="Q183" t="s">
        <v>24</v>
      </c>
    </row>
    <row r="184" spans="1:17" x14ac:dyDescent="0.25">
      <c r="A184" t="s">
        <v>17</v>
      </c>
      <c r="B184" s="1">
        <v>41718</v>
      </c>
      <c r="C184" t="s">
        <v>289</v>
      </c>
      <c r="D184" t="str">
        <f>CONCATENATE("0060002931","")</f>
        <v>0060002931</v>
      </c>
      <c r="E184" t="str">
        <f>CONCATENATE("0120226001170       ","")</f>
        <v xml:space="preserve">0120226001170       </v>
      </c>
      <c r="F184" t="str">
        <f>CONCATENATE("605349456","")</f>
        <v>605349456</v>
      </c>
      <c r="G184" t="s">
        <v>401</v>
      </c>
      <c r="H184" t="s">
        <v>402</v>
      </c>
      <c r="I184" t="s">
        <v>403</v>
      </c>
      <c r="J184" t="str">
        <f t="shared" si="21"/>
        <v>081202</v>
      </c>
      <c r="K184" t="s">
        <v>22</v>
      </c>
      <c r="L184" t="s">
        <v>23</v>
      </c>
      <c r="M184" t="str">
        <f t="shared" si="24"/>
        <v>1</v>
      </c>
      <c r="O184" t="str">
        <f t="shared" si="25"/>
        <v xml:space="preserve">1 </v>
      </c>
      <c r="P184">
        <v>21.7</v>
      </c>
      <c r="Q184" t="s">
        <v>24</v>
      </c>
    </row>
    <row r="185" spans="1:17" x14ac:dyDescent="0.25">
      <c r="A185" t="s">
        <v>17</v>
      </c>
      <c r="B185" s="1">
        <v>41718</v>
      </c>
      <c r="C185" t="s">
        <v>289</v>
      </c>
      <c r="D185" t="str">
        <f>CONCATENATE("0060002939","")</f>
        <v>0060002939</v>
      </c>
      <c r="E185" t="str">
        <f>CONCATENATE("0120226001240       ","")</f>
        <v xml:space="preserve">0120226001240       </v>
      </c>
      <c r="F185" t="str">
        <f>CONCATENATE("605772672","")</f>
        <v>605772672</v>
      </c>
      <c r="G185" t="s">
        <v>401</v>
      </c>
      <c r="H185" t="s">
        <v>404</v>
      </c>
      <c r="I185" t="s">
        <v>403</v>
      </c>
      <c r="J185" t="str">
        <f t="shared" si="21"/>
        <v>081202</v>
      </c>
      <c r="K185" t="s">
        <v>22</v>
      </c>
      <c r="L185" t="s">
        <v>23</v>
      </c>
      <c r="M185" t="str">
        <f t="shared" si="24"/>
        <v>1</v>
      </c>
      <c r="O185" t="str">
        <f t="shared" si="25"/>
        <v xml:space="preserve">1 </v>
      </c>
      <c r="P185">
        <v>16.95</v>
      </c>
      <c r="Q185" t="s">
        <v>24</v>
      </c>
    </row>
    <row r="186" spans="1:17" x14ac:dyDescent="0.25">
      <c r="A186" t="s">
        <v>17</v>
      </c>
      <c r="B186" s="1">
        <v>41718</v>
      </c>
      <c r="C186" t="s">
        <v>289</v>
      </c>
      <c r="D186" t="str">
        <f>CONCATENATE("0060002951","")</f>
        <v>0060002951</v>
      </c>
      <c r="E186" t="str">
        <f>CONCATENATE("0120226001380       ","")</f>
        <v xml:space="preserve">0120226001380       </v>
      </c>
      <c r="F186" t="str">
        <f>CONCATENATE("605762874","")</f>
        <v>605762874</v>
      </c>
      <c r="G186" t="s">
        <v>401</v>
      </c>
      <c r="H186" t="s">
        <v>405</v>
      </c>
      <c r="I186" t="s">
        <v>403</v>
      </c>
      <c r="J186" t="str">
        <f t="shared" si="21"/>
        <v>081202</v>
      </c>
      <c r="K186" t="s">
        <v>22</v>
      </c>
      <c r="L186" t="s">
        <v>23</v>
      </c>
      <c r="M186" t="str">
        <f t="shared" si="24"/>
        <v>1</v>
      </c>
      <c r="O186" t="str">
        <f t="shared" si="25"/>
        <v xml:space="preserve">1 </v>
      </c>
      <c r="P186">
        <v>24.45</v>
      </c>
      <c r="Q186" t="s">
        <v>24</v>
      </c>
    </row>
    <row r="187" spans="1:17" x14ac:dyDescent="0.25">
      <c r="A187" t="s">
        <v>17</v>
      </c>
      <c r="B187" s="1">
        <v>41718</v>
      </c>
      <c r="C187" t="s">
        <v>289</v>
      </c>
      <c r="D187" t="str">
        <f>CONCATENATE("0060002970","")</f>
        <v>0060002970</v>
      </c>
      <c r="E187" t="str">
        <f>CONCATENATE("0120226001580       ","")</f>
        <v xml:space="preserve">0120226001580       </v>
      </c>
      <c r="F187" t="str">
        <f>CONCATENATE("08743482","")</f>
        <v>08743482</v>
      </c>
      <c r="G187" t="s">
        <v>401</v>
      </c>
      <c r="H187" t="s">
        <v>406</v>
      </c>
      <c r="I187" t="s">
        <v>403</v>
      </c>
      <c r="J187" t="str">
        <f t="shared" si="21"/>
        <v>081202</v>
      </c>
      <c r="K187" t="s">
        <v>22</v>
      </c>
      <c r="L187" t="s">
        <v>23</v>
      </c>
      <c r="M187" t="str">
        <f t="shared" si="24"/>
        <v>1</v>
      </c>
      <c r="O187" t="str">
        <f>CONCATENATE("3 ","")</f>
        <v xml:space="preserve">3 </v>
      </c>
      <c r="P187">
        <v>65.45</v>
      </c>
      <c r="Q187" t="s">
        <v>24</v>
      </c>
    </row>
    <row r="188" spans="1:17" x14ac:dyDescent="0.25">
      <c r="A188" t="s">
        <v>17</v>
      </c>
      <c r="B188" s="1">
        <v>41718</v>
      </c>
      <c r="C188" t="s">
        <v>289</v>
      </c>
      <c r="D188" t="str">
        <f>CONCATENATE("0060002977","")</f>
        <v>0060002977</v>
      </c>
      <c r="E188" t="str">
        <f>CONCATENATE("0120226001650       ","")</f>
        <v xml:space="preserve">0120226001650       </v>
      </c>
      <c r="F188" t="str">
        <f>CONCATENATE("605750915","")</f>
        <v>605750915</v>
      </c>
      <c r="G188" t="s">
        <v>401</v>
      </c>
      <c r="H188" t="s">
        <v>407</v>
      </c>
      <c r="I188" t="s">
        <v>403</v>
      </c>
      <c r="J188" t="str">
        <f t="shared" si="21"/>
        <v>081202</v>
      </c>
      <c r="K188" t="s">
        <v>22</v>
      </c>
      <c r="L188" t="s">
        <v>23</v>
      </c>
      <c r="M188" t="str">
        <f t="shared" si="24"/>
        <v>1</v>
      </c>
      <c r="O188" t="str">
        <f>CONCATENATE("1 ","")</f>
        <v xml:space="preserve">1 </v>
      </c>
      <c r="P188">
        <v>13.2</v>
      </c>
      <c r="Q188" t="s">
        <v>24</v>
      </c>
    </row>
    <row r="189" spans="1:17" x14ac:dyDescent="0.25">
      <c r="A189" t="s">
        <v>17</v>
      </c>
      <c r="B189" s="1">
        <v>41718</v>
      </c>
      <c r="C189" t="s">
        <v>289</v>
      </c>
      <c r="D189" t="str">
        <f>CONCATENATE("0060002996","")</f>
        <v>0060002996</v>
      </c>
      <c r="E189" t="str">
        <f>CONCATENATE("0120226001900       ","")</f>
        <v xml:space="preserve">0120226001900       </v>
      </c>
      <c r="F189" t="str">
        <f>CONCATENATE("1101344","")</f>
        <v>1101344</v>
      </c>
      <c r="G189" t="s">
        <v>383</v>
      </c>
      <c r="H189" t="s">
        <v>408</v>
      </c>
      <c r="I189" t="s">
        <v>403</v>
      </c>
      <c r="J189" t="str">
        <f t="shared" si="21"/>
        <v>081202</v>
      </c>
      <c r="K189" t="s">
        <v>22</v>
      </c>
      <c r="L189" t="s">
        <v>23</v>
      </c>
      <c r="M189" t="str">
        <f t="shared" si="24"/>
        <v>1</v>
      </c>
      <c r="O189" t="str">
        <f>CONCATENATE("1 ","")</f>
        <v xml:space="preserve">1 </v>
      </c>
      <c r="P189">
        <v>43.15</v>
      </c>
      <c r="Q189" t="s">
        <v>24</v>
      </c>
    </row>
    <row r="190" spans="1:17" x14ac:dyDescent="0.25">
      <c r="A190" t="s">
        <v>17</v>
      </c>
      <c r="B190" s="1">
        <v>41718</v>
      </c>
      <c r="C190" t="s">
        <v>289</v>
      </c>
      <c r="D190" t="str">
        <f>CONCATENATE("0060002997","")</f>
        <v>0060002997</v>
      </c>
      <c r="E190" t="str">
        <f>CONCATENATE("0120226002005       ","")</f>
        <v xml:space="preserve">0120226002005       </v>
      </c>
      <c r="F190" t="str">
        <f>CONCATENATE("605354633","")</f>
        <v>605354633</v>
      </c>
      <c r="G190" t="s">
        <v>401</v>
      </c>
      <c r="H190" t="s">
        <v>409</v>
      </c>
      <c r="I190" t="s">
        <v>410</v>
      </c>
      <c r="J190" t="str">
        <f t="shared" si="21"/>
        <v>081202</v>
      </c>
      <c r="K190" t="s">
        <v>22</v>
      </c>
      <c r="L190" t="s">
        <v>23</v>
      </c>
      <c r="M190" t="str">
        <f t="shared" si="24"/>
        <v>1</v>
      </c>
      <c r="O190" t="str">
        <f>CONCATENATE("1 ","")</f>
        <v xml:space="preserve">1 </v>
      </c>
      <c r="P190">
        <v>38.25</v>
      </c>
      <c r="Q190" t="s">
        <v>24</v>
      </c>
    </row>
    <row r="191" spans="1:17" x14ac:dyDescent="0.25">
      <c r="A191" t="s">
        <v>17</v>
      </c>
      <c r="B191" s="1">
        <v>41718</v>
      </c>
      <c r="C191" t="s">
        <v>411</v>
      </c>
      <c r="D191" t="str">
        <f>CONCATENATE("0060017195","")</f>
        <v>0060017195</v>
      </c>
      <c r="E191" t="str">
        <f>CONCATENATE("0120227000010       ","")</f>
        <v xml:space="preserve">0120227000010       </v>
      </c>
      <c r="F191" t="str">
        <f>CONCATENATE("1235657","")</f>
        <v>1235657</v>
      </c>
      <c r="G191" t="s">
        <v>412</v>
      </c>
      <c r="H191" t="s">
        <v>413</v>
      </c>
      <c r="I191" t="s">
        <v>414</v>
      </c>
      <c r="J191" t="str">
        <f>CONCATENATE("080206","")</f>
        <v>080206</v>
      </c>
      <c r="K191" t="s">
        <v>22</v>
      </c>
      <c r="L191" t="s">
        <v>23</v>
      </c>
      <c r="M191" t="str">
        <f t="shared" si="24"/>
        <v>1</v>
      </c>
      <c r="O191" t="str">
        <f>CONCATENATE("3 ","")</f>
        <v xml:space="preserve">3 </v>
      </c>
      <c r="P191">
        <v>25.65</v>
      </c>
      <c r="Q191" t="s">
        <v>24</v>
      </c>
    </row>
    <row r="192" spans="1:17" x14ac:dyDescent="0.25">
      <c r="A192" t="s">
        <v>17</v>
      </c>
      <c r="B192" s="1">
        <v>41718</v>
      </c>
      <c r="C192" t="s">
        <v>289</v>
      </c>
      <c r="D192" t="str">
        <f>CONCATENATE("0060011649","")</f>
        <v>0060011649</v>
      </c>
      <c r="E192" t="str">
        <f>CONCATENATE("0120228000060       ","")</f>
        <v xml:space="preserve">0120228000060       </v>
      </c>
      <c r="F192" t="str">
        <f>CONCATENATE("605113212","")</f>
        <v>605113212</v>
      </c>
      <c r="G192" t="s">
        <v>412</v>
      </c>
      <c r="H192" t="s">
        <v>415</v>
      </c>
      <c r="I192" t="s">
        <v>416</v>
      </c>
      <c r="J192" t="str">
        <f>CONCATENATE("081202","")</f>
        <v>081202</v>
      </c>
      <c r="K192" t="s">
        <v>22</v>
      </c>
      <c r="L192" t="s">
        <v>23</v>
      </c>
      <c r="M192" t="str">
        <f t="shared" si="24"/>
        <v>1</v>
      </c>
      <c r="O192" t="str">
        <f t="shared" ref="O192:O200" si="26">CONCATENATE("1 ","")</f>
        <v xml:space="preserve">1 </v>
      </c>
      <c r="P192">
        <v>24.85</v>
      </c>
      <c r="Q192" t="s">
        <v>24</v>
      </c>
    </row>
    <row r="193" spans="1:17" x14ac:dyDescent="0.25">
      <c r="A193" t="s">
        <v>17</v>
      </c>
      <c r="B193" s="1">
        <v>41718</v>
      </c>
      <c r="C193" t="s">
        <v>289</v>
      </c>
      <c r="D193" t="str">
        <f>CONCATENATE("0060011648","")</f>
        <v>0060011648</v>
      </c>
      <c r="E193" t="str">
        <f>CONCATENATE("0120228000070       ","")</f>
        <v xml:space="preserve">0120228000070       </v>
      </c>
      <c r="F193" t="str">
        <f>CONCATENATE("605112878","")</f>
        <v>605112878</v>
      </c>
      <c r="G193" t="s">
        <v>412</v>
      </c>
      <c r="H193" t="s">
        <v>417</v>
      </c>
      <c r="I193" t="s">
        <v>416</v>
      </c>
      <c r="J193" t="str">
        <f>CONCATENATE("081202","")</f>
        <v>081202</v>
      </c>
      <c r="K193" t="s">
        <v>22</v>
      </c>
      <c r="L193" t="s">
        <v>23</v>
      </c>
      <c r="M193" t="str">
        <f t="shared" si="24"/>
        <v>1</v>
      </c>
      <c r="O193" t="str">
        <f t="shared" si="26"/>
        <v xml:space="preserve">1 </v>
      </c>
      <c r="P193">
        <v>37</v>
      </c>
      <c r="Q193" t="s">
        <v>24</v>
      </c>
    </row>
    <row r="194" spans="1:17" x14ac:dyDescent="0.25">
      <c r="A194" t="s">
        <v>17</v>
      </c>
      <c r="B194" s="1">
        <v>41718</v>
      </c>
      <c r="C194" t="s">
        <v>289</v>
      </c>
      <c r="D194" t="str">
        <f>CONCATENATE("0060011663","")</f>
        <v>0060011663</v>
      </c>
      <c r="E194" t="str">
        <f>CONCATENATE("0120228000100       ","")</f>
        <v xml:space="preserve">0120228000100       </v>
      </c>
      <c r="F194" t="str">
        <f>CONCATENATE("605113215","")</f>
        <v>605113215</v>
      </c>
      <c r="G194" t="s">
        <v>412</v>
      </c>
      <c r="H194" t="s">
        <v>418</v>
      </c>
      <c r="I194" t="s">
        <v>416</v>
      </c>
      <c r="J194" t="str">
        <f>CONCATENATE("081202","")</f>
        <v>081202</v>
      </c>
      <c r="K194" t="s">
        <v>22</v>
      </c>
      <c r="L194" t="s">
        <v>23</v>
      </c>
      <c r="M194" t="str">
        <f t="shared" si="24"/>
        <v>1</v>
      </c>
      <c r="O194" t="str">
        <f t="shared" si="26"/>
        <v xml:space="preserve">1 </v>
      </c>
      <c r="P194">
        <v>26.5</v>
      </c>
      <c r="Q194" t="s">
        <v>24</v>
      </c>
    </row>
    <row r="195" spans="1:17" x14ac:dyDescent="0.25">
      <c r="A195" t="s">
        <v>17</v>
      </c>
      <c r="B195" s="1">
        <v>41718</v>
      </c>
      <c r="C195" t="s">
        <v>289</v>
      </c>
      <c r="D195" t="str">
        <f>CONCATENATE("0060011658","")</f>
        <v>0060011658</v>
      </c>
      <c r="E195" t="str">
        <f>CONCATENATE("0120228000130       ","")</f>
        <v xml:space="preserve">0120228000130       </v>
      </c>
      <c r="F195" t="str">
        <f>CONCATENATE("605112860","")</f>
        <v>605112860</v>
      </c>
      <c r="G195" t="s">
        <v>412</v>
      </c>
      <c r="H195" t="s">
        <v>419</v>
      </c>
      <c r="I195" t="s">
        <v>416</v>
      </c>
      <c r="J195" t="str">
        <f>CONCATENATE("081202","")</f>
        <v>081202</v>
      </c>
      <c r="K195" t="s">
        <v>22</v>
      </c>
      <c r="L195" t="s">
        <v>23</v>
      </c>
      <c r="M195" t="str">
        <f t="shared" si="24"/>
        <v>1</v>
      </c>
      <c r="O195" t="str">
        <f t="shared" si="26"/>
        <v xml:space="preserve">1 </v>
      </c>
      <c r="P195">
        <v>10.5</v>
      </c>
      <c r="Q195" t="s">
        <v>24</v>
      </c>
    </row>
    <row r="196" spans="1:17" x14ac:dyDescent="0.25">
      <c r="A196" t="s">
        <v>17</v>
      </c>
      <c r="B196" s="1">
        <v>41718</v>
      </c>
      <c r="C196" t="s">
        <v>289</v>
      </c>
      <c r="D196" t="str">
        <f>CONCATENATE("0060011670","")</f>
        <v>0060011670</v>
      </c>
      <c r="E196" t="str">
        <f>CONCATENATE("0120228000160       ","")</f>
        <v xml:space="preserve">0120228000160       </v>
      </c>
      <c r="F196" t="str">
        <f>CONCATENATE("605113209","")</f>
        <v>605113209</v>
      </c>
      <c r="G196" t="s">
        <v>412</v>
      </c>
      <c r="H196" t="s">
        <v>420</v>
      </c>
      <c r="I196" t="s">
        <v>416</v>
      </c>
      <c r="J196" t="str">
        <f>CONCATENATE("081202","")</f>
        <v>081202</v>
      </c>
      <c r="K196" t="s">
        <v>22</v>
      </c>
      <c r="L196" t="s">
        <v>23</v>
      </c>
      <c r="M196" t="str">
        <f t="shared" si="24"/>
        <v>1</v>
      </c>
      <c r="O196" t="str">
        <f t="shared" si="26"/>
        <v xml:space="preserve">1 </v>
      </c>
      <c r="P196">
        <v>18.25</v>
      </c>
      <c r="Q196" t="s">
        <v>24</v>
      </c>
    </row>
    <row r="197" spans="1:17" x14ac:dyDescent="0.25">
      <c r="A197" t="s">
        <v>17</v>
      </c>
      <c r="B197" s="1">
        <v>41718</v>
      </c>
      <c r="C197" t="s">
        <v>140</v>
      </c>
      <c r="D197" t="str">
        <f>CONCATENATE("0060016683","")</f>
        <v>0060016683</v>
      </c>
      <c r="E197" t="str">
        <f>CONCATENATE("0120229000030       ","")</f>
        <v xml:space="preserve">0120229000030       </v>
      </c>
      <c r="F197" t="str">
        <f>CONCATENATE("2004066","")</f>
        <v>2004066</v>
      </c>
      <c r="G197" t="s">
        <v>421</v>
      </c>
      <c r="H197" t="s">
        <v>422</v>
      </c>
      <c r="I197" t="s">
        <v>423</v>
      </c>
      <c r="J197" t="str">
        <f t="shared" ref="J197:J208" si="27">CONCATENATE("081201","")</f>
        <v>081201</v>
      </c>
      <c r="K197" t="s">
        <v>22</v>
      </c>
      <c r="L197" t="s">
        <v>23</v>
      </c>
      <c r="M197" t="str">
        <f t="shared" si="24"/>
        <v>1</v>
      </c>
      <c r="O197" t="str">
        <f t="shared" si="26"/>
        <v xml:space="preserve">1 </v>
      </c>
      <c r="P197">
        <v>14.8</v>
      </c>
      <c r="Q197" t="s">
        <v>24</v>
      </c>
    </row>
    <row r="198" spans="1:17" x14ac:dyDescent="0.25">
      <c r="A198" t="s">
        <v>17</v>
      </c>
      <c r="B198" s="1">
        <v>41718</v>
      </c>
      <c r="C198" t="s">
        <v>140</v>
      </c>
      <c r="D198" t="str">
        <f>CONCATENATE("0060016689","")</f>
        <v>0060016689</v>
      </c>
      <c r="E198" t="str">
        <f>CONCATENATE("0120229000090       ","")</f>
        <v xml:space="preserve">0120229000090       </v>
      </c>
      <c r="F198" t="str">
        <f>CONCATENATE("2004045","")</f>
        <v>2004045</v>
      </c>
      <c r="G198" t="s">
        <v>421</v>
      </c>
      <c r="H198" t="s">
        <v>424</v>
      </c>
      <c r="I198" t="s">
        <v>423</v>
      </c>
      <c r="J198" t="str">
        <f t="shared" si="27"/>
        <v>081201</v>
      </c>
      <c r="K198" t="s">
        <v>22</v>
      </c>
      <c r="L198" t="s">
        <v>23</v>
      </c>
      <c r="M198" t="str">
        <f t="shared" si="24"/>
        <v>1</v>
      </c>
      <c r="O198" t="str">
        <f t="shared" si="26"/>
        <v xml:space="preserve">1 </v>
      </c>
      <c r="P198">
        <v>50.8</v>
      </c>
      <c r="Q198" t="s">
        <v>24</v>
      </c>
    </row>
    <row r="199" spans="1:17" x14ac:dyDescent="0.25">
      <c r="A199" t="s">
        <v>17</v>
      </c>
      <c r="B199" s="1">
        <v>41718</v>
      </c>
      <c r="C199" t="s">
        <v>140</v>
      </c>
      <c r="D199" t="str">
        <f>CONCATENATE("0060016694","")</f>
        <v>0060016694</v>
      </c>
      <c r="E199" t="str">
        <f>CONCATENATE("0120229000225       ","")</f>
        <v xml:space="preserve">0120229000225       </v>
      </c>
      <c r="F199" t="str">
        <f>CONCATENATE("2004051","")</f>
        <v>2004051</v>
      </c>
      <c r="G199" t="s">
        <v>421</v>
      </c>
      <c r="H199" t="s">
        <v>425</v>
      </c>
      <c r="I199" t="s">
        <v>423</v>
      </c>
      <c r="J199" t="str">
        <f t="shared" si="27"/>
        <v>081201</v>
      </c>
      <c r="K199" t="s">
        <v>22</v>
      </c>
      <c r="L199" t="s">
        <v>23</v>
      </c>
      <c r="M199" t="str">
        <f t="shared" si="24"/>
        <v>1</v>
      </c>
      <c r="O199" t="str">
        <f t="shared" si="26"/>
        <v xml:space="preserve">1 </v>
      </c>
      <c r="P199">
        <v>12.85</v>
      </c>
      <c r="Q199" t="s">
        <v>24</v>
      </c>
    </row>
    <row r="200" spans="1:17" x14ac:dyDescent="0.25">
      <c r="A200" t="s">
        <v>17</v>
      </c>
      <c r="B200" s="1">
        <v>41718</v>
      </c>
      <c r="C200" t="s">
        <v>140</v>
      </c>
      <c r="D200" t="str">
        <f>CONCATENATE("0060016696","")</f>
        <v>0060016696</v>
      </c>
      <c r="E200" t="str">
        <f>CONCATENATE("0120229000235       ","")</f>
        <v xml:space="preserve">0120229000235       </v>
      </c>
      <c r="F200" t="str">
        <f>CONCATENATE("2004042","")</f>
        <v>2004042</v>
      </c>
      <c r="G200" t="s">
        <v>421</v>
      </c>
      <c r="H200" t="s">
        <v>426</v>
      </c>
      <c r="I200" t="s">
        <v>423</v>
      </c>
      <c r="J200" t="str">
        <f t="shared" si="27"/>
        <v>081201</v>
      </c>
      <c r="K200" t="s">
        <v>22</v>
      </c>
      <c r="L200" t="s">
        <v>23</v>
      </c>
      <c r="M200" t="str">
        <f t="shared" si="24"/>
        <v>1</v>
      </c>
      <c r="O200" t="str">
        <f t="shared" si="26"/>
        <v xml:space="preserve">1 </v>
      </c>
      <c r="P200">
        <v>19.05</v>
      </c>
      <c r="Q200" t="s">
        <v>24</v>
      </c>
    </row>
    <row r="201" spans="1:17" x14ac:dyDescent="0.25">
      <c r="A201" t="s">
        <v>17</v>
      </c>
      <c r="B201" s="1">
        <v>41718</v>
      </c>
      <c r="C201" t="s">
        <v>140</v>
      </c>
      <c r="D201" t="str">
        <f>CONCATENATE("0060016703","")</f>
        <v>0060016703</v>
      </c>
      <c r="E201" t="str">
        <f>CONCATENATE("0120229000290       ","")</f>
        <v xml:space="preserve">0120229000290       </v>
      </c>
      <c r="F201" t="str">
        <f>CONCATENATE("2004059","")</f>
        <v>2004059</v>
      </c>
      <c r="G201" t="s">
        <v>421</v>
      </c>
      <c r="H201" t="s">
        <v>427</v>
      </c>
      <c r="I201" t="s">
        <v>423</v>
      </c>
      <c r="J201" t="str">
        <f t="shared" si="27"/>
        <v>081201</v>
      </c>
      <c r="K201" t="s">
        <v>22</v>
      </c>
      <c r="L201" t="s">
        <v>23</v>
      </c>
      <c r="M201" t="str">
        <f t="shared" si="24"/>
        <v>1</v>
      </c>
      <c r="O201" t="str">
        <f>CONCATENATE("4 ","")</f>
        <v xml:space="preserve">4 </v>
      </c>
      <c r="P201">
        <v>59.1</v>
      </c>
      <c r="Q201" t="s">
        <v>24</v>
      </c>
    </row>
    <row r="202" spans="1:17" x14ac:dyDescent="0.25">
      <c r="A202" t="s">
        <v>17</v>
      </c>
      <c r="B202" s="1">
        <v>41718</v>
      </c>
      <c r="C202" t="s">
        <v>140</v>
      </c>
      <c r="D202" t="str">
        <f>CONCATENATE("0060016717","")</f>
        <v>0060016717</v>
      </c>
      <c r="E202" t="str">
        <f>CONCATENATE("0120229000430       ","")</f>
        <v xml:space="preserve">0120229000430       </v>
      </c>
      <c r="F202" t="str">
        <f>CONCATENATE("2004033","")</f>
        <v>2004033</v>
      </c>
      <c r="G202" t="s">
        <v>421</v>
      </c>
      <c r="H202" t="s">
        <v>428</v>
      </c>
      <c r="I202" t="s">
        <v>423</v>
      </c>
      <c r="J202" t="str">
        <f t="shared" si="27"/>
        <v>081201</v>
      </c>
      <c r="K202" t="s">
        <v>22</v>
      </c>
      <c r="L202" t="s">
        <v>23</v>
      </c>
      <c r="M202" t="str">
        <f t="shared" si="24"/>
        <v>1</v>
      </c>
      <c r="O202" t="str">
        <f>CONCATENATE("1 ","")</f>
        <v xml:space="preserve">1 </v>
      </c>
      <c r="P202">
        <v>13</v>
      </c>
      <c r="Q202" t="s">
        <v>24</v>
      </c>
    </row>
    <row r="203" spans="1:17" x14ac:dyDescent="0.25">
      <c r="A203" t="s">
        <v>17</v>
      </c>
      <c r="B203" s="1">
        <v>41718</v>
      </c>
      <c r="C203" t="s">
        <v>140</v>
      </c>
      <c r="D203" t="str">
        <f>CONCATENATE("0060016714","")</f>
        <v>0060016714</v>
      </c>
      <c r="E203" t="str">
        <f>CONCATENATE("0120229000490       ","")</f>
        <v xml:space="preserve">0120229000490       </v>
      </c>
      <c r="F203" t="str">
        <f>CONCATENATE("2004032","")</f>
        <v>2004032</v>
      </c>
      <c r="G203" t="s">
        <v>421</v>
      </c>
      <c r="H203" t="s">
        <v>429</v>
      </c>
      <c r="I203" t="s">
        <v>423</v>
      </c>
      <c r="J203" t="str">
        <f t="shared" si="27"/>
        <v>081201</v>
      </c>
      <c r="K203" t="s">
        <v>22</v>
      </c>
      <c r="L203" t="s">
        <v>23</v>
      </c>
      <c r="M203" t="str">
        <f t="shared" si="24"/>
        <v>1</v>
      </c>
      <c r="O203" t="str">
        <f>CONCATENATE("1 ","")</f>
        <v xml:space="preserve">1 </v>
      </c>
      <c r="P203">
        <v>18.100000000000001</v>
      </c>
      <c r="Q203" t="s">
        <v>24</v>
      </c>
    </row>
    <row r="204" spans="1:17" x14ac:dyDescent="0.25">
      <c r="A204" t="s">
        <v>17</v>
      </c>
      <c r="B204" s="1">
        <v>41718</v>
      </c>
      <c r="C204" t="s">
        <v>140</v>
      </c>
      <c r="D204" t="str">
        <f>CONCATENATE("0060016730","")</f>
        <v>0060016730</v>
      </c>
      <c r="E204" t="str">
        <f>CONCATENATE("0120229000700       ","")</f>
        <v xml:space="preserve">0120229000700       </v>
      </c>
      <c r="F204" t="str">
        <f>CONCATENATE("2003992","")</f>
        <v>2003992</v>
      </c>
      <c r="G204" t="s">
        <v>421</v>
      </c>
      <c r="H204" t="s">
        <v>430</v>
      </c>
      <c r="I204" t="s">
        <v>423</v>
      </c>
      <c r="J204" t="str">
        <f t="shared" si="27"/>
        <v>081201</v>
      </c>
      <c r="K204" t="s">
        <v>22</v>
      </c>
      <c r="L204" t="s">
        <v>23</v>
      </c>
      <c r="M204" t="str">
        <f t="shared" si="24"/>
        <v>1</v>
      </c>
      <c r="O204" t="str">
        <f>CONCATENATE("1 ","")</f>
        <v xml:space="preserve">1 </v>
      </c>
      <c r="P204">
        <v>12.8</v>
      </c>
      <c r="Q204" t="s">
        <v>24</v>
      </c>
    </row>
    <row r="205" spans="1:17" x14ac:dyDescent="0.25">
      <c r="A205" t="s">
        <v>17</v>
      </c>
      <c r="B205" s="1">
        <v>41718</v>
      </c>
      <c r="C205" t="s">
        <v>140</v>
      </c>
      <c r="D205" t="str">
        <f>CONCATENATE("0060016731","")</f>
        <v>0060016731</v>
      </c>
      <c r="E205" t="str">
        <f>CONCATENATE("0120229000710       ","")</f>
        <v xml:space="preserve">0120229000710       </v>
      </c>
      <c r="F205" t="str">
        <f>CONCATENATE("2001242","")</f>
        <v>2001242</v>
      </c>
      <c r="G205" t="s">
        <v>421</v>
      </c>
      <c r="H205" t="s">
        <v>431</v>
      </c>
      <c r="I205" t="s">
        <v>423</v>
      </c>
      <c r="J205" t="str">
        <f t="shared" si="27"/>
        <v>081201</v>
      </c>
      <c r="K205" t="s">
        <v>22</v>
      </c>
      <c r="L205" t="s">
        <v>23</v>
      </c>
      <c r="M205" t="str">
        <f t="shared" si="24"/>
        <v>1</v>
      </c>
      <c r="O205" t="str">
        <f>CONCATENATE("1 ","")</f>
        <v xml:space="preserve">1 </v>
      </c>
      <c r="P205">
        <v>13.2</v>
      </c>
      <c r="Q205" t="s">
        <v>24</v>
      </c>
    </row>
    <row r="206" spans="1:17" x14ac:dyDescent="0.25">
      <c r="A206" t="s">
        <v>17</v>
      </c>
      <c r="B206" s="1">
        <v>41718</v>
      </c>
      <c r="C206" t="s">
        <v>140</v>
      </c>
      <c r="D206" t="str">
        <f>CONCATENATE("0060016736","")</f>
        <v>0060016736</v>
      </c>
      <c r="E206" t="str">
        <f>CONCATENATE("0120229000810       ","")</f>
        <v xml:space="preserve">0120229000810       </v>
      </c>
      <c r="F206" t="str">
        <f>CONCATENATE("2004030","")</f>
        <v>2004030</v>
      </c>
      <c r="G206" t="s">
        <v>432</v>
      </c>
      <c r="H206" t="s">
        <v>433</v>
      </c>
      <c r="I206" t="s">
        <v>423</v>
      </c>
      <c r="J206" t="str">
        <f t="shared" si="27"/>
        <v>081201</v>
      </c>
      <c r="K206" t="s">
        <v>22</v>
      </c>
      <c r="L206" t="s">
        <v>23</v>
      </c>
      <c r="M206" t="str">
        <f t="shared" si="24"/>
        <v>1</v>
      </c>
      <c r="O206" t="str">
        <f>CONCATENATE("3 ","")</f>
        <v xml:space="preserve">3 </v>
      </c>
      <c r="P206">
        <v>31.4</v>
      </c>
      <c r="Q206" t="s">
        <v>24</v>
      </c>
    </row>
    <row r="207" spans="1:17" x14ac:dyDescent="0.25">
      <c r="A207" t="s">
        <v>17</v>
      </c>
      <c r="B207" s="1">
        <v>41718</v>
      </c>
      <c r="C207" t="s">
        <v>140</v>
      </c>
      <c r="D207" t="str">
        <f>CONCATENATE("0060016737","")</f>
        <v>0060016737</v>
      </c>
      <c r="E207" t="str">
        <f>CONCATENATE("0120229000820       ","")</f>
        <v xml:space="preserve">0120229000820       </v>
      </c>
      <c r="F207" t="str">
        <f>CONCATENATE("2004029","")</f>
        <v>2004029</v>
      </c>
      <c r="G207" t="s">
        <v>421</v>
      </c>
      <c r="H207" t="s">
        <v>434</v>
      </c>
      <c r="I207" t="s">
        <v>423</v>
      </c>
      <c r="J207" t="str">
        <f t="shared" si="27"/>
        <v>081201</v>
      </c>
      <c r="K207" t="s">
        <v>22</v>
      </c>
      <c r="L207" t="s">
        <v>23</v>
      </c>
      <c r="M207" t="str">
        <f t="shared" si="24"/>
        <v>1</v>
      </c>
      <c r="O207" t="str">
        <f>CONCATENATE("1 ","")</f>
        <v xml:space="preserve">1 </v>
      </c>
      <c r="P207">
        <v>13.15</v>
      </c>
      <c r="Q207" t="s">
        <v>24</v>
      </c>
    </row>
    <row r="208" spans="1:17" x14ac:dyDescent="0.25">
      <c r="A208" t="s">
        <v>17</v>
      </c>
      <c r="B208" s="1">
        <v>41718</v>
      </c>
      <c r="C208" t="s">
        <v>140</v>
      </c>
      <c r="D208" t="str">
        <f>CONCATENATE("0060016742","")</f>
        <v>0060016742</v>
      </c>
      <c r="E208" t="str">
        <f>CONCATENATE("0120229000930       ","")</f>
        <v xml:space="preserve">0120229000930       </v>
      </c>
      <c r="F208" t="str">
        <f>CONCATENATE("2004076","")</f>
        <v>2004076</v>
      </c>
      <c r="G208" t="s">
        <v>421</v>
      </c>
      <c r="H208" t="s">
        <v>435</v>
      </c>
      <c r="I208" t="s">
        <v>423</v>
      </c>
      <c r="J208" t="str">
        <f t="shared" si="27"/>
        <v>081201</v>
      </c>
      <c r="K208" t="s">
        <v>22</v>
      </c>
      <c r="L208" t="s">
        <v>23</v>
      </c>
      <c r="M208" t="str">
        <f t="shared" si="24"/>
        <v>1</v>
      </c>
      <c r="O208" t="str">
        <f>CONCATENATE("1 ","")</f>
        <v xml:space="preserve">1 </v>
      </c>
      <c r="P208">
        <v>14.45</v>
      </c>
      <c r="Q208" t="s">
        <v>24</v>
      </c>
    </row>
    <row r="209" spans="1:17" x14ac:dyDescent="0.25">
      <c r="A209" t="s">
        <v>17</v>
      </c>
      <c r="B209" s="1">
        <v>41718</v>
      </c>
      <c r="C209" t="s">
        <v>67</v>
      </c>
      <c r="D209" t="str">
        <f>CONCATENATE("0060017983","")</f>
        <v>0060017983</v>
      </c>
      <c r="E209" t="str">
        <f>CONCATENATE("0120231000070       ","")</f>
        <v xml:space="preserve">0120231000070       </v>
      </c>
      <c r="F209" t="str">
        <f>CONCATENATE("0606144200","")</f>
        <v>0606144200</v>
      </c>
      <c r="G209" t="s">
        <v>436</v>
      </c>
      <c r="H209" t="s">
        <v>437</v>
      </c>
      <c r="I209" t="s">
        <v>438</v>
      </c>
      <c r="J209" t="str">
        <f t="shared" ref="J209:J241" si="28">CONCATENATE("081207","")</f>
        <v>081207</v>
      </c>
      <c r="K209" t="s">
        <v>22</v>
      </c>
      <c r="L209" t="s">
        <v>23</v>
      </c>
      <c r="M209" t="str">
        <f t="shared" si="24"/>
        <v>1</v>
      </c>
      <c r="O209" t="str">
        <f>CONCATENATE("2 ","")</f>
        <v xml:space="preserve">2 </v>
      </c>
      <c r="P209">
        <v>17.95</v>
      </c>
      <c r="Q209" t="s">
        <v>24</v>
      </c>
    </row>
    <row r="210" spans="1:17" x14ac:dyDescent="0.25">
      <c r="A210" t="s">
        <v>17</v>
      </c>
      <c r="B210" s="1">
        <v>41718</v>
      </c>
      <c r="C210" t="s">
        <v>67</v>
      </c>
      <c r="D210" t="str">
        <f>CONCATENATE("0060017985","")</f>
        <v>0060017985</v>
      </c>
      <c r="E210" t="str">
        <f>CONCATENATE("0120231000090       ","")</f>
        <v xml:space="preserve">0120231000090       </v>
      </c>
      <c r="F210" t="str">
        <f>CONCATENATE("0606144189","")</f>
        <v>0606144189</v>
      </c>
      <c r="G210" t="s">
        <v>436</v>
      </c>
      <c r="H210" t="s">
        <v>439</v>
      </c>
      <c r="I210" t="s">
        <v>438</v>
      </c>
      <c r="J210" t="str">
        <f t="shared" si="28"/>
        <v>081207</v>
      </c>
      <c r="K210" t="s">
        <v>22</v>
      </c>
      <c r="L210" t="s">
        <v>23</v>
      </c>
      <c r="M210" t="str">
        <f t="shared" si="24"/>
        <v>1</v>
      </c>
      <c r="O210" t="str">
        <f>CONCATENATE("6 ","")</f>
        <v xml:space="preserve">6 </v>
      </c>
      <c r="P210">
        <v>42.35</v>
      </c>
      <c r="Q210" t="s">
        <v>24</v>
      </c>
    </row>
    <row r="211" spans="1:17" x14ac:dyDescent="0.25">
      <c r="A211" t="s">
        <v>17</v>
      </c>
      <c r="B211" s="1">
        <v>41718</v>
      </c>
      <c r="C211" t="s">
        <v>67</v>
      </c>
      <c r="D211" t="str">
        <f>CONCATENATE("0060017986","")</f>
        <v>0060017986</v>
      </c>
      <c r="E211" t="str">
        <f>CONCATENATE("0120231000100       ","")</f>
        <v xml:space="preserve">0120231000100       </v>
      </c>
      <c r="F211" t="str">
        <f>CONCATENATE("0606144210","")</f>
        <v>0606144210</v>
      </c>
      <c r="G211" t="s">
        <v>436</v>
      </c>
      <c r="H211" t="s">
        <v>440</v>
      </c>
      <c r="I211" t="s">
        <v>438</v>
      </c>
      <c r="J211" t="str">
        <f t="shared" si="28"/>
        <v>081207</v>
      </c>
      <c r="K211" t="s">
        <v>22</v>
      </c>
      <c r="L211" t="s">
        <v>23</v>
      </c>
      <c r="M211" t="str">
        <f t="shared" si="24"/>
        <v>1</v>
      </c>
      <c r="O211" t="str">
        <f>CONCATENATE("1 ","")</f>
        <v xml:space="preserve">1 </v>
      </c>
      <c r="P211">
        <v>13.3</v>
      </c>
      <c r="Q211" t="s">
        <v>24</v>
      </c>
    </row>
    <row r="212" spans="1:17" x14ac:dyDescent="0.25">
      <c r="A212" t="s">
        <v>17</v>
      </c>
      <c r="B212" s="1">
        <v>41718</v>
      </c>
      <c r="C212" t="s">
        <v>67</v>
      </c>
      <c r="D212" t="str">
        <f>CONCATENATE("0060017989","")</f>
        <v>0060017989</v>
      </c>
      <c r="E212" t="str">
        <f>CONCATENATE("0120231000130       ","")</f>
        <v xml:space="preserve">0120231000130       </v>
      </c>
      <c r="F212" t="str">
        <f>CONCATENATE("0606144203","")</f>
        <v>0606144203</v>
      </c>
      <c r="G212" t="s">
        <v>436</v>
      </c>
      <c r="H212" t="s">
        <v>441</v>
      </c>
      <c r="I212" t="s">
        <v>438</v>
      </c>
      <c r="J212" t="str">
        <f t="shared" si="28"/>
        <v>081207</v>
      </c>
      <c r="K212" t="s">
        <v>22</v>
      </c>
      <c r="L212" t="s">
        <v>23</v>
      </c>
      <c r="M212" t="str">
        <f t="shared" si="24"/>
        <v>1</v>
      </c>
      <c r="O212" t="str">
        <f>CONCATENATE("2 ","")</f>
        <v xml:space="preserve">2 </v>
      </c>
      <c r="P212">
        <v>19.45</v>
      </c>
      <c r="Q212" t="s">
        <v>24</v>
      </c>
    </row>
    <row r="213" spans="1:17" x14ac:dyDescent="0.25">
      <c r="A213" t="s">
        <v>17</v>
      </c>
      <c r="B213" s="1">
        <v>41718</v>
      </c>
      <c r="C213" t="s">
        <v>67</v>
      </c>
      <c r="D213" t="str">
        <f>CONCATENATE("0060017993","")</f>
        <v>0060017993</v>
      </c>
      <c r="E213" t="str">
        <f>CONCATENATE("0120231000170       ","")</f>
        <v xml:space="preserve">0120231000170       </v>
      </c>
      <c r="F213" t="str">
        <f>CONCATENATE("0606144188","")</f>
        <v>0606144188</v>
      </c>
      <c r="G213" t="s">
        <v>436</v>
      </c>
      <c r="H213" t="s">
        <v>442</v>
      </c>
      <c r="I213" t="s">
        <v>438</v>
      </c>
      <c r="J213" t="str">
        <f t="shared" si="28"/>
        <v>081207</v>
      </c>
      <c r="K213" t="s">
        <v>22</v>
      </c>
      <c r="L213" t="s">
        <v>23</v>
      </c>
      <c r="M213" t="str">
        <f t="shared" si="24"/>
        <v>1</v>
      </c>
      <c r="O213" t="str">
        <f>CONCATENATE("2 ","")</f>
        <v xml:space="preserve">2 </v>
      </c>
      <c r="P213">
        <v>19.399999999999999</v>
      </c>
      <c r="Q213" t="s">
        <v>24</v>
      </c>
    </row>
    <row r="214" spans="1:17" x14ac:dyDescent="0.25">
      <c r="A214" t="s">
        <v>17</v>
      </c>
      <c r="B214" s="1">
        <v>41718</v>
      </c>
      <c r="C214" t="s">
        <v>67</v>
      </c>
      <c r="D214" t="str">
        <f>CONCATENATE("0060017994","")</f>
        <v>0060017994</v>
      </c>
      <c r="E214" t="str">
        <f>CONCATENATE("0120231000180       ","")</f>
        <v xml:space="preserve">0120231000180       </v>
      </c>
      <c r="F214" t="str">
        <f>CONCATENATE("0606144194","")</f>
        <v>0606144194</v>
      </c>
      <c r="G214" t="s">
        <v>436</v>
      </c>
      <c r="H214" t="s">
        <v>443</v>
      </c>
      <c r="I214" t="s">
        <v>438</v>
      </c>
      <c r="J214" t="str">
        <f t="shared" si="28"/>
        <v>081207</v>
      </c>
      <c r="K214" t="s">
        <v>22</v>
      </c>
      <c r="L214" t="s">
        <v>23</v>
      </c>
      <c r="M214" t="str">
        <f t="shared" si="24"/>
        <v>1</v>
      </c>
      <c r="O214" t="str">
        <f>CONCATENATE("1 ","")</f>
        <v xml:space="preserve">1 </v>
      </c>
      <c r="P214">
        <v>16.350000000000001</v>
      </c>
      <c r="Q214" t="s">
        <v>24</v>
      </c>
    </row>
    <row r="215" spans="1:17" x14ac:dyDescent="0.25">
      <c r="A215" t="s">
        <v>17</v>
      </c>
      <c r="B215" s="1">
        <v>41718</v>
      </c>
      <c r="C215" t="s">
        <v>67</v>
      </c>
      <c r="D215" t="str">
        <f>CONCATENATE("0060017996","")</f>
        <v>0060017996</v>
      </c>
      <c r="E215" t="str">
        <f>CONCATENATE("0120231000200       ","")</f>
        <v xml:space="preserve">0120231000200       </v>
      </c>
      <c r="F215" t="str">
        <f>CONCATENATE("0606143745","")</f>
        <v>0606143745</v>
      </c>
      <c r="G215" t="s">
        <v>436</v>
      </c>
      <c r="H215" t="s">
        <v>444</v>
      </c>
      <c r="I215" t="s">
        <v>438</v>
      </c>
      <c r="J215" t="str">
        <f t="shared" si="28"/>
        <v>081207</v>
      </c>
      <c r="K215" t="s">
        <v>22</v>
      </c>
      <c r="L215" t="s">
        <v>23</v>
      </c>
      <c r="M215" t="str">
        <f t="shared" si="24"/>
        <v>1</v>
      </c>
      <c r="O215" t="str">
        <f>CONCATENATE("1 ","")</f>
        <v xml:space="preserve">1 </v>
      </c>
      <c r="P215">
        <v>11.9</v>
      </c>
      <c r="Q215" t="s">
        <v>24</v>
      </c>
    </row>
    <row r="216" spans="1:17" x14ac:dyDescent="0.25">
      <c r="A216" t="s">
        <v>17</v>
      </c>
      <c r="B216" s="1">
        <v>41718</v>
      </c>
      <c r="C216" t="s">
        <v>67</v>
      </c>
      <c r="D216" t="str">
        <f>CONCATENATE("0060017997","")</f>
        <v>0060017997</v>
      </c>
      <c r="E216" t="str">
        <f>CONCATENATE("0120231000210       ","")</f>
        <v xml:space="preserve">0120231000210       </v>
      </c>
      <c r="F216" t="str">
        <f>CONCATENATE("0606143742","")</f>
        <v>0606143742</v>
      </c>
      <c r="G216" t="s">
        <v>436</v>
      </c>
      <c r="H216" t="s">
        <v>445</v>
      </c>
      <c r="I216" t="s">
        <v>438</v>
      </c>
      <c r="J216" t="str">
        <f t="shared" si="28"/>
        <v>081207</v>
      </c>
      <c r="K216" t="s">
        <v>22</v>
      </c>
      <c r="L216" t="s">
        <v>23</v>
      </c>
      <c r="M216" t="str">
        <f t="shared" si="24"/>
        <v>1</v>
      </c>
      <c r="O216" t="str">
        <f>CONCATENATE("2 ","")</f>
        <v xml:space="preserve">2 </v>
      </c>
      <c r="P216">
        <v>19.5</v>
      </c>
      <c r="Q216" t="s">
        <v>24</v>
      </c>
    </row>
    <row r="217" spans="1:17" x14ac:dyDescent="0.25">
      <c r="A217" t="s">
        <v>17</v>
      </c>
      <c r="B217" s="1">
        <v>41718</v>
      </c>
      <c r="C217" t="s">
        <v>67</v>
      </c>
      <c r="D217" t="str">
        <f>CONCATENATE("0060018213","")</f>
        <v>0060018213</v>
      </c>
      <c r="E217" t="str">
        <f>CONCATENATE("0120231000280       ","")</f>
        <v xml:space="preserve">0120231000280       </v>
      </c>
      <c r="F217" t="str">
        <f>CONCATENATE("0606143734","")</f>
        <v>0606143734</v>
      </c>
      <c r="G217" t="s">
        <v>436</v>
      </c>
      <c r="H217" t="s">
        <v>446</v>
      </c>
      <c r="I217" t="s">
        <v>438</v>
      </c>
      <c r="J217" t="str">
        <f t="shared" si="28"/>
        <v>081207</v>
      </c>
      <c r="K217" t="s">
        <v>22</v>
      </c>
      <c r="L217" t="s">
        <v>23</v>
      </c>
      <c r="M217" t="str">
        <f t="shared" si="24"/>
        <v>1</v>
      </c>
      <c r="O217" t="str">
        <f>CONCATENATE("5 ","")</f>
        <v xml:space="preserve">5 </v>
      </c>
      <c r="P217">
        <v>34.15</v>
      </c>
      <c r="Q217" t="s">
        <v>24</v>
      </c>
    </row>
    <row r="218" spans="1:17" x14ac:dyDescent="0.25">
      <c r="A218" t="s">
        <v>17</v>
      </c>
      <c r="B218" s="1">
        <v>41718</v>
      </c>
      <c r="C218" t="s">
        <v>67</v>
      </c>
      <c r="D218" t="str">
        <f>CONCATENATE("0060018220","")</f>
        <v>0060018220</v>
      </c>
      <c r="E218" t="str">
        <f>CONCATENATE("0120231000350       ","")</f>
        <v xml:space="preserve">0120231000350       </v>
      </c>
      <c r="F218" t="str">
        <f>CONCATENATE("0606144479","")</f>
        <v>0606144479</v>
      </c>
      <c r="G218" t="s">
        <v>436</v>
      </c>
      <c r="H218" t="s">
        <v>447</v>
      </c>
      <c r="I218" t="s">
        <v>438</v>
      </c>
      <c r="J218" t="str">
        <f t="shared" si="28"/>
        <v>081207</v>
      </c>
      <c r="K218" t="s">
        <v>22</v>
      </c>
      <c r="L218" t="s">
        <v>23</v>
      </c>
      <c r="M218" t="str">
        <f t="shared" si="24"/>
        <v>1</v>
      </c>
      <c r="O218" t="str">
        <f>CONCATENATE("3 ","")</f>
        <v xml:space="preserve">3 </v>
      </c>
      <c r="P218">
        <v>26.5</v>
      </c>
      <c r="Q218" t="s">
        <v>24</v>
      </c>
    </row>
    <row r="219" spans="1:17" x14ac:dyDescent="0.25">
      <c r="A219" t="s">
        <v>17</v>
      </c>
      <c r="B219" s="1">
        <v>41718</v>
      </c>
      <c r="C219" t="s">
        <v>67</v>
      </c>
      <c r="D219" t="str">
        <f>CONCATENATE("0060018062","")</f>
        <v>0060018062</v>
      </c>
      <c r="E219" t="str">
        <f>CONCATENATE("0120232000060       ","")</f>
        <v xml:space="preserve">0120232000060       </v>
      </c>
      <c r="F219" t="str">
        <f>CONCATENATE("0606144464","")</f>
        <v>0606144464</v>
      </c>
      <c r="G219" t="s">
        <v>448</v>
      </c>
      <c r="H219" t="s">
        <v>449</v>
      </c>
      <c r="I219" t="s">
        <v>450</v>
      </c>
      <c r="J219" t="str">
        <f t="shared" si="28"/>
        <v>081207</v>
      </c>
      <c r="K219" t="s">
        <v>22</v>
      </c>
      <c r="L219" t="s">
        <v>23</v>
      </c>
      <c r="M219" t="str">
        <f t="shared" si="24"/>
        <v>1</v>
      </c>
      <c r="O219" t="str">
        <f>CONCATENATE("1 ","")</f>
        <v xml:space="preserve">1 </v>
      </c>
      <c r="P219">
        <v>12.6</v>
      </c>
      <c r="Q219" t="s">
        <v>24</v>
      </c>
    </row>
    <row r="220" spans="1:17" x14ac:dyDescent="0.25">
      <c r="A220" t="s">
        <v>17</v>
      </c>
      <c r="B220" s="1">
        <v>41718</v>
      </c>
      <c r="C220" t="s">
        <v>67</v>
      </c>
      <c r="D220" t="str">
        <f>CONCATENATE("0060018063","")</f>
        <v>0060018063</v>
      </c>
      <c r="E220" t="str">
        <f>CONCATENATE("0120232000070       ","")</f>
        <v xml:space="preserve">0120232000070       </v>
      </c>
      <c r="F220" t="str">
        <f>CONCATENATE("0606144760","")</f>
        <v>0606144760</v>
      </c>
      <c r="G220" t="s">
        <v>448</v>
      </c>
      <c r="H220" t="s">
        <v>451</v>
      </c>
      <c r="I220" t="s">
        <v>450</v>
      </c>
      <c r="J220" t="str">
        <f t="shared" si="28"/>
        <v>081207</v>
      </c>
      <c r="K220" t="s">
        <v>22</v>
      </c>
      <c r="L220" t="s">
        <v>23</v>
      </c>
      <c r="M220" t="str">
        <f t="shared" si="24"/>
        <v>1</v>
      </c>
      <c r="O220" t="str">
        <f>CONCATENATE("1 ","")</f>
        <v xml:space="preserve">1 </v>
      </c>
      <c r="P220">
        <v>12.6</v>
      </c>
      <c r="Q220" t="s">
        <v>24</v>
      </c>
    </row>
    <row r="221" spans="1:17" x14ac:dyDescent="0.25">
      <c r="A221" t="s">
        <v>17</v>
      </c>
      <c r="B221" s="1">
        <v>41718</v>
      </c>
      <c r="C221" t="s">
        <v>67</v>
      </c>
      <c r="D221" t="str">
        <f>CONCATENATE("0060018071","")</f>
        <v>0060018071</v>
      </c>
      <c r="E221" t="str">
        <f>CONCATENATE("0120233000060       ","")</f>
        <v xml:space="preserve">0120233000060       </v>
      </c>
      <c r="F221" t="str">
        <f>CONCATENATE("0606095337","")</f>
        <v>0606095337</v>
      </c>
      <c r="G221" t="s">
        <v>452</v>
      </c>
      <c r="H221" t="s">
        <v>453</v>
      </c>
      <c r="I221" t="s">
        <v>454</v>
      </c>
      <c r="J221" t="str">
        <f t="shared" si="28"/>
        <v>081207</v>
      </c>
      <c r="K221" t="s">
        <v>22</v>
      </c>
      <c r="L221" t="s">
        <v>23</v>
      </c>
      <c r="M221" t="str">
        <f t="shared" si="24"/>
        <v>1</v>
      </c>
      <c r="O221" t="str">
        <f>CONCATENATE("1 ","")</f>
        <v xml:space="preserve">1 </v>
      </c>
      <c r="P221">
        <v>12.55</v>
      </c>
      <c r="Q221" t="s">
        <v>24</v>
      </c>
    </row>
    <row r="222" spans="1:17" x14ac:dyDescent="0.25">
      <c r="A222" t="s">
        <v>17</v>
      </c>
      <c r="B222" s="1">
        <v>41718</v>
      </c>
      <c r="C222" t="s">
        <v>67</v>
      </c>
      <c r="D222" t="str">
        <f>CONCATENATE("0060018007","")</f>
        <v>0060018007</v>
      </c>
      <c r="E222" t="str">
        <f>CONCATENATE("0120234000050       ","")</f>
        <v xml:space="preserve">0120234000050       </v>
      </c>
      <c r="F222" t="str">
        <f>CONCATENATE("0606143967","")</f>
        <v>0606143967</v>
      </c>
      <c r="G222" t="s">
        <v>455</v>
      </c>
      <c r="H222" t="s">
        <v>456</v>
      </c>
      <c r="I222" t="s">
        <v>457</v>
      </c>
      <c r="J222" t="str">
        <f t="shared" si="28"/>
        <v>081207</v>
      </c>
      <c r="K222" t="s">
        <v>22</v>
      </c>
      <c r="L222" t="s">
        <v>23</v>
      </c>
      <c r="M222" t="str">
        <f t="shared" si="24"/>
        <v>1</v>
      </c>
      <c r="O222" t="str">
        <f>CONCATENATE("2 ","")</f>
        <v xml:space="preserve">2 </v>
      </c>
      <c r="P222">
        <v>18.649999999999999</v>
      </c>
      <c r="Q222" t="s">
        <v>24</v>
      </c>
    </row>
    <row r="223" spans="1:17" x14ac:dyDescent="0.25">
      <c r="A223" t="s">
        <v>17</v>
      </c>
      <c r="B223" s="1">
        <v>41718</v>
      </c>
      <c r="C223" t="s">
        <v>67</v>
      </c>
      <c r="D223" t="str">
        <f>CONCATENATE("0060018012","")</f>
        <v>0060018012</v>
      </c>
      <c r="E223" t="str">
        <f>CONCATENATE("0120234000100       ","")</f>
        <v xml:space="preserve">0120234000100       </v>
      </c>
      <c r="F223" t="str">
        <f>CONCATENATE("0606143960","")</f>
        <v>0606143960</v>
      </c>
      <c r="G223" t="s">
        <v>455</v>
      </c>
      <c r="H223" t="s">
        <v>458</v>
      </c>
      <c r="I223" t="s">
        <v>457</v>
      </c>
      <c r="J223" t="str">
        <f t="shared" si="28"/>
        <v>081207</v>
      </c>
      <c r="K223" t="s">
        <v>22</v>
      </c>
      <c r="L223" t="s">
        <v>23</v>
      </c>
      <c r="M223" t="str">
        <f t="shared" si="24"/>
        <v>1</v>
      </c>
      <c r="O223" t="str">
        <f>CONCATENATE("4 ","")</f>
        <v xml:space="preserve">4 </v>
      </c>
      <c r="P223">
        <v>28</v>
      </c>
      <c r="Q223" t="s">
        <v>24</v>
      </c>
    </row>
    <row r="224" spans="1:17" x14ac:dyDescent="0.25">
      <c r="A224" t="s">
        <v>17</v>
      </c>
      <c r="B224" s="1">
        <v>41718</v>
      </c>
      <c r="C224" t="s">
        <v>67</v>
      </c>
      <c r="D224" t="str">
        <f>CONCATENATE("0060018013","")</f>
        <v>0060018013</v>
      </c>
      <c r="E224" t="str">
        <f>CONCATENATE("0120234000110       ","")</f>
        <v xml:space="preserve">0120234000110       </v>
      </c>
      <c r="F224" t="str">
        <f>CONCATENATE("0606143941","")</f>
        <v>0606143941</v>
      </c>
      <c r="G224" t="s">
        <v>455</v>
      </c>
      <c r="H224" t="s">
        <v>459</v>
      </c>
      <c r="I224" t="s">
        <v>457</v>
      </c>
      <c r="J224" t="str">
        <f t="shared" si="28"/>
        <v>081207</v>
      </c>
      <c r="K224" t="s">
        <v>22</v>
      </c>
      <c r="L224" t="s">
        <v>23</v>
      </c>
      <c r="M224" t="str">
        <f t="shared" si="24"/>
        <v>1</v>
      </c>
      <c r="O224" t="str">
        <f>CONCATENATE("2 ","")</f>
        <v xml:space="preserve">2 </v>
      </c>
      <c r="P224">
        <v>18.649999999999999</v>
      </c>
      <c r="Q224" t="s">
        <v>24</v>
      </c>
    </row>
    <row r="225" spans="1:17" x14ac:dyDescent="0.25">
      <c r="A225" t="s">
        <v>17</v>
      </c>
      <c r="B225" s="1">
        <v>41718</v>
      </c>
      <c r="C225" t="s">
        <v>67</v>
      </c>
      <c r="D225" t="str">
        <f>CONCATENATE("0060017963","")</f>
        <v>0060017963</v>
      </c>
      <c r="E225" t="str">
        <f>CONCATENATE("0120235000010       ","")</f>
        <v xml:space="preserve">0120235000010       </v>
      </c>
      <c r="F225" t="str">
        <f>CONCATENATE("0606144209","")</f>
        <v>0606144209</v>
      </c>
      <c r="G225" t="s">
        <v>460</v>
      </c>
      <c r="H225" t="s">
        <v>461</v>
      </c>
      <c r="I225" t="s">
        <v>462</v>
      </c>
      <c r="J225" t="str">
        <f t="shared" si="28"/>
        <v>081207</v>
      </c>
      <c r="K225" t="s">
        <v>22</v>
      </c>
      <c r="L225" t="s">
        <v>23</v>
      </c>
      <c r="M225" t="str">
        <f t="shared" si="24"/>
        <v>1</v>
      </c>
      <c r="O225" t="str">
        <f>CONCATENATE("1 ","")</f>
        <v xml:space="preserve">1 </v>
      </c>
      <c r="P225">
        <v>15.25</v>
      </c>
      <c r="Q225" t="s">
        <v>24</v>
      </c>
    </row>
    <row r="226" spans="1:17" x14ac:dyDescent="0.25">
      <c r="A226" t="s">
        <v>17</v>
      </c>
      <c r="B226" s="1">
        <v>41718</v>
      </c>
      <c r="C226" t="s">
        <v>67</v>
      </c>
      <c r="D226" t="str">
        <f>CONCATENATE("0060017968","")</f>
        <v>0060017968</v>
      </c>
      <c r="E226" t="str">
        <f>CONCATENATE("0120235000060       ","")</f>
        <v xml:space="preserve">0120235000060       </v>
      </c>
      <c r="F226" t="str">
        <f>CONCATENATE("0606094910","")</f>
        <v>0606094910</v>
      </c>
      <c r="G226" t="s">
        <v>460</v>
      </c>
      <c r="H226" t="s">
        <v>463</v>
      </c>
      <c r="I226" t="s">
        <v>462</v>
      </c>
      <c r="J226" t="str">
        <f t="shared" si="28"/>
        <v>081207</v>
      </c>
      <c r="K226" t="s">
        <v>22</v>
      </c>
      <c r="L226" t="s">
        <v>23</v>
      </c>
      <c r="M226" t="str">
        <f t="shared" si="24"/>
        <v>1</v>
      </c>
      <c r="O226" t="str">
        <f>CONCATENATE("1 ","")</f>
        <v xml:space="preserve">1 </v>
      </c>
      <c r="P226">
        <v>13.25</v>
      </c>
      <c r="Q226" t="s">
        <v>24</v>
      </c>
    </row>
    <row r="227" spans="1:17" x14ac:dyDescent="0.25">
      <c r="A227" t="s">
        <v>17</v>
      </c>
      <c r="B227" s="1">
        <v>41718</v>
      </c>
      <c r="C227" t="s">
        <v>67</v>
      </c>
      <c r="D227" t="str">
        <f>CONCATENATE("0060018211","")</f>
        <v>0060018211</v>
      </c>
      <c r="E227" t="str">
        <f>CONCATENATE("0120235000080       ","")</f>
        <v xml:space="preserve">0120235000080       </v>
      </c>
      <c r="F227" t="str">
        <f>CONCATENATE("0606095585","")</f>
        <v>0606095585</v>
      </c>
      <c r="G227" t="s">
        <v>432</v>
      </c>
      <c r="H227" t="s">
        <v>464</v>
      </c>
      <c r="I227" t="s">
        <v>462</v>
      </c>
      <c r="J227" t="str">
        <f t="shared" si="28"/>
        <v>081207</v>
      </c>
      <c r="K227" t="s">
        <v>22</v>
      </c>
      <c r="L227" t="s">
        <v>23</v>
      </c>
      <c r="M227" t="str">
        <f t="shared" si="24"/>
        <v>1</v>
      </c>
      <c r="O227" t="str">
        <f>CONCATENATE("1 ","")</f>
        <v xml:space="preserve">1 </v>
      </c>
      <c r="P227">
        <v>12.55</v>
      </c>
      <c r="Q227" t="s">
        <v>24</v>
      </c>
    </row>
    <row r="228" spans="1:17" x14ac:dyDescent="0.25">
      <c r="A228" t="s">
        <v>17</v>
      </c>
      <c r="B228" s="1">
        <v>41718</v>
      </c>
      <c r="C228" t="s">
        <v>67</v>
      </c>
      <c r="D228" t="str">
        <f>CONCATENATE("0060018025","")</f>
        <v>0060018025</v>
      </c>
      <c r="E228" t="str">
        <f>CONCATENATE("0120236000020       ","")</f>
        <v xml:space="preserve">0120236000020       </v>
      </c>
      <c r="F228" t="str">
        <f>CONCATENATE("0606143754","")</f>
        <v>0606143754</v>
      </c>
      <c r="G228" t="s">
        <v>465</v>
      </c>
      <c r="H228" t="s">
        <v>466</v>
      </c>
      <c r="I228" t="s">
        <v>467</v>
      </c>
      <c r="J228" t="str">
        <f t="shared" si="28"/>
        <v>081207</v>
      </c>
      <c r="K228" t="s">
        <v>22</v>
      </c>
      <c r="L228" t="s">
        <v>23</v>
      </c>
      <c r="M228" t="str">
        <f t="shared" si="24"/>
        <v>1</v>
      </c>
      <c r="O228" t="str">
        <f>CONCATENATE("1 ","")</f>
        <v xml:space="preserve">1 </v>
      </c>
      <c r="P228">
        <v>13.3</v>
      </c>
      <c r="Q228" t="s">
        <v>24</v>
      </c>
    </row>
    <row r="229" spans="1:17" x14ac:dyDescent="0.25">
      <c r="A229" t="s">
        <v>17</v>
      </c>
      <c r="B229" s="1">
        <v>41718</v>
      </c>
      <c r="C229" t="s">
        <v>67</v>
      </c>
      <c r="D229" t="str">
        <f>CONCATENATE("0060017952","")</f>
        <v>0060017952</v>
      </c>
      <c r="E229" t="str">
        <f>CONCATENATE("0120236000110       ","")</f>
        <v xml:space="preserve">0120236000110       </v>
      </c>
      <c r="F229" t="str">
        <f>CONCATENATE("0606143758","")</f>
        <v>0606143758</v>
      </c>
      <c r="G229" t="s">
        <v>465</v>
      </c>
      <c r="H229" t="s">
        <v>468</v>
      </c>
      <c r="I229" t="s">
        <v>467</v>
      </c>
      <c r="J229" t="str">
        <f t="shared" si="28"/>
        <v>081207</v>
      </c>
      <c r="K229" t="s">
        <v>22</v>
      </c>
      <c r="L229" t="s">
        <v>23</v>
      </c>
      <c r="M229" t="str">
        <f t="shared" si="24"/>
        <v>1</v>
      </c>
      <c r="O229" t="str">
        <f>CONCATENATE("4 ","")</f>
        <v xml:space="preserve">4 </v>
      </c>
      <c r="P229">
        <v>30.75</v>
      </c>
      <c r="Q229" t="s">
        <v>24</v>
      </c>
    </row>
    <row r="230" spans="1:17" x14ac:dyDescent="0.25">
      <c r="A230" t="s">
        <v>17</v>
      </c>
      <c r="B230" s="1">
        <v>41718</v>
      </c>
      <c r="C230" t="s">
        <v>67</v>
      </c>
      <c r="D230" t="str">
        <f>CONCATENATE("0060017953","")</f>
        <v>0060017953</v>
      </c>
      <c r="E230" t="str">
        <f>CONCATENATE("0120236000120       ","")</f>
        <v xml:space="preserve">0120236000120       </v>
      </c>
      <c r="F230" t="str">
        <f>CONCATENATE("0606143741","")</f>
        <v>0606143741</v>
      </c>
      <c r="G230" t="s">
        <v>465</v>
      </c>
      <c r="H230" t="s">
        <v>469</v>
      </c>
      <c r="I230" t="s">
        <v>467</v>
      </c>
      <c r="J230" t="str">
        <f t="shared" si="28"/>
        <v>081207</v>
      </c>
      <c r="K230" t="s">
        <v>22</v>
      </c>
      <c r="L230" t="s">
        <v>23</v>
      </c>
      <c r="M230" t="str">
        <f t="shared" si="24"/>
        <v>1</v>
      </c>
      <c r="O230" t="str">
        <f>CONCATENATE("5 ","")</f>
        <v xml:space="preserve">5 </v>
      </c>
      <c r="P230">
        <v>34.65</v>
      </c>
      <c r="Q230" t="s">
        <v>24</v>
      </c>
    </row>
    <row r="231" spans="1:17" x14ac:dyDescent="0.25">
      <c r="A231" t="s">
        <v>17</v>
      </c>
      <c r="B231" s="1">
        <v>41718</v>
      </c>
      <c r="C231" t="s">
        <v>67</v>
      </c>
      <c r="D231" t="str">
        <f>CONCATENATE("0060017956","")</f>
        <v>0060017956</v>
      </c>
      <c r="E231" t="str">
        <f>CONCATENATE("0120236000150       ","")</f>
        <v xml:space="preserve">0120236000150       </v>
      </c>
      <c r="F231" t="str">
        <f>CONCATENATE("0606143732","")</f>
        <v>0606143732</v>
      </c>
      <c r="G231" t="s">
        <v>465</v>
      </c>
      <c r="H231" t="s">
        <v>470</v>
      </c>
      <c r="I231" t="s">
        <v>467</v>
      </c>
      <c r="J231" t="str">
        <f t="shared" si="28"/>
        <v>081207</v>
      </c>
      <c r="K231" t="s">
        <v>22</v>
      </c>
      <c r="L231" t="s">
        <v>23</v>
      </c>
      <c r="M231" t="str">
        <f t="shared" si="24"/>
        <v>1</v>
      </c>
      <c r="O231" t="str">
        <f>CONCATENATE("3 ","")</f>
        <v xml:space="preserve">3 </v>
      </c>
      <c r="P231">
        <v>25.75</v>
      </c>
      <c r="Q231" t="s">
        <v>24</v>
      </c>
    </row>
    <row r="232" spans="1:17" x14ac:dyDescent="0.25">
      <c r="A232" t="s">
        <v>17</v>
      </c>
      <c r="B232" s="1">
        <v>41718</v>
      </c>
      <c r="C232" t="s">
        <v>67</v>
      </c>
      <c r="D232" t="str">
        <f>CONCATENATE("0060017957","")</f>
        <v>0060017957</v>
      </c>
      <c r="E232" t="str">
        <f>CONCATENATE("0120236000160       ","")</f>
        <v xml:space="preserve">0120236000160       </v>
      </c>
      <c r="F232" t="str">
        <f>CONCATENATE("0606143746","")</f>
        <v>0606143746</v>
      </c>
      <c r="G232" t="s">
        <v>465</v>
      </c>
      <c r="H232" t="s">
        <v>471</v>
      </c>
      <c r="I232" t="s">
        <v>467</v>
      </c>
      <c r="J232" t="str">
        <f t="shared" si="28"/>
        <v>081207</v>
      </c>
      <c r="K232" t="s">
        <v>22</v>
      </c>
      <c r="L232" t="s">
        <v>23</v>
      </c>
      <c r="M232" t="str">
        <f t="shared" si="24"/>
        <v>1</v>
      </c>
      <c r="O232" t="str">
        <f>CONCATENATE("6 ","")</f>
        <v xml:space="preserve">6 </v>
      </c>
      <c r="P232">
        <v>39.4</v>
      </c>
      <c r="Q232" t="s">
        <v>24</v>
      </c>
    </row>
    <row r="233" spans="1:17" x14ac:dyDescent="0.25">
      <c r="A233" t="s">
        <v>17</v>
      </c>
      <c r="B233" s="1">
        <v>41718</v>
      </c>
      <c r="C233" t="s">
        <v>67</v>
      </c>
      <c r="D233" t="str">
        <f>CONCATENATE("0060018207","")</f>
        <v>0060018207</v>
      </c>
      <c r="E233" t="str">
        <f>CONCATENATE("0120236000250       ","")</f>
        <v xml:space="preserve">0120236000250       </v>
      </c>
      <c r="F233" t="str">
        <f>CONCATENATE("0606143757","")</f>
        <v>0606143757</v>
      </c>
      <c r="G233" t="s">
        <v>432</v>
      </c>
      <c r="H233" t="s">
        <v>472</v>
      </c>
      <c r="I233" t="s">
        <v>467</v>
      </c>
      <c r="J233" t="str">
        <f t="shared" si="28"/>
        <v>081207</v>
      </c>
      <c r="K233" t="s">
        <v>22</v>
      </c>
      <c r="L233" t="s">
        <v>23</v>
      </c>
      <c r="M233" t="str">
        <f t="shared" si="24"/>
        <v>1</v>
      </c>
      <c r="O233" t="str">
        <f>CONCATENATE("5 ","")</f>
        <v xml:space="preserve">5 </v>
      </c>
      <c r="P233">
        <v>35.200000000000003</v>
      </c>
      <c r="Q233" t="s">
        <v>24</v>
      </c>
    </row>
    <row r="234" spans="1:17" x14ac:dyDescent="0.25">
      <c r="A234" t="s">
        <v>17</v>
      </c>
      <c r="B234" s="1">
        <v>41718</v>
      </c>
      <c r="C234" t="s">
        <v>67</v>
      </c>
      <c r="D234" t="str">
        <f>CONCATENATE("0060018210","")</f>
        <v>0060018210</v>
      </c>
      <c r="E234" t="str">
        <f>CONCATENATE("0120236000280       ","")</f>
        <v xml:space="preserve">0120236000280       </v>
      </c>
      <c r="F234" t="str">
        <f>CONCATENATE("1606144759","")</f>
        <v>1606144759</v>
      </c>
      <c r="G234" t="s">
        <v>432</v>
      </c>
      <c r="H234" t="s">
        <v>473</v>
      </c>
      <c r="I234" t="s">
        <v>467</v>
      </c>
      <c r="J234" t="str">
        <f t="shared" si="28"/>
        <v>081207</v>
      </c>
      <c r="K234" t="s">
        <v>22</v>
      </c>
      <c r="L234" t="s">
        <v>23</v>
      </c>
      <c r="M234" t="str">
        <f t="shared" si="24"/>
        <v>1</v>
      </c>
      <c r="O234" t="str">
        <f>CONCATENATE("1 ","")</f>
        <v xml:space="preserve">1 </v>
      </c>
      <c r="P234">
        <v>14.1</v>
      </c>
      <c r="Q234" t="s">
        <v>24</v>
      </c>
    </row>
    <row r="235" spans="1:17" x14ac:dyDescent="0.25">
      <c r="A235" t="s">
        <v>17</v>
      </c>
      <c r="B235" s="1">
        <v>41718</v>
      </c>
      <c r="C235" t="s">
        <v>67</v>
      </c>
      <c r="D235" t="str">
        <f>CONCATENATE("0060018034","")</f>
        <v>0060018034</v>
      </c>
      <c r="E235" t="str">
        <f>CONCATENATE("0120238000070       ","")</f>
        <v xml:space="preserve">0120238000070       </v>
      </c>
      <c r="F235" t="str">
        <f>CONCATENATE("0606143784","")</f>
        <v>0606143784</v>
      </c>
      <c r="G235" t="s">
        <v>474</v>
      </c>
      <c r="H235" t="s">
        <v>475</v>
      </c>
      <c r="I235" t="s">
        <v>476</v>
      </c>
      <c r="J235" t="str">
        <f t="shared" si="28"/>
        <v>081207</v>
      </c>
      <c r="K235" t="s">
        <v>22</v>
      </c>
      <c r="L235" t="s">
        <v>23</v>
      </c>
      <c r="M235" t="str">
        <f t="shared" si="24"/>
        <v>1</v>
      </c>
      <c r="O235" t="str">
        <f>CONCATENATE("1 ","")</f>
        <v xml:space="preserve">1 </v>
      </c>
      <c r="P235">
        <v>12.55</v>
      </c>
      <c r="Q235" t="s">
        <v>24</v>
      </c>
    </row>
    <row r="236" spans="1:17" x14ac:dyDescent="0.25">
      <c r="A236" t="s">
        <v>17</v>
      </c>
      <c r="B236" s="1">
        <v>41718</v>
      </c>
      <c r="C236" t="s">
        <v>67</v>
      </c>
      <c r="D236" t="str">
        <f>CONCATENATE("0060018036","")</f>
        <v>0060018036</v>
      </c>
      <c r="E236" t="str">
        <f>CONCATENATE("0120238000090       ","")</f>
        <v xml:space="preserve">0120238000090       </v>
      </c>
      <c r="F236" t="str">
        <f>CONCATENATE("0606095315","")</f>
        <v>0606095315</v>
      </c>
      <c r="G236" t="s">
        <v>474</v>
      </c>
      <c r="H236" t="s">
        <v>477</v>
      </c>
      <c r="I236" t="s">
        <v>476</v>
      </c>
      <c r="J236" t="str">
        <f t="shared" si="28"/>
        <v>081207</v>
      </c>
      <c r="K236" t="s">
        <v>22</v>
      </c>
      <c r="L236" t="s">
        <v>23</v>
      </c>
      <c r="M236" t="str">
        <f t="shared" si="24"/>
        <v>1</v>
      </c>
      <c r="O236" t="str">
        <f>CONCATENATE("1 ","")</f>
        <v xml:space="preserve">1 </v>
      </c>
      <c r="P236">
        <v>13.25</v>
      </c>
      <c r="Q236" t="s">
        <v>24</v>
      </c>
    </row>
    <row r="237" spans="1:17" x14ac:dyDescent="0.25">
      <c r="A237" t="s">
        <v>17</v>
      </c>
      <c r="B237" s="1">
        <v>41718</v>
      </c>
      <c r="C237" t="s">
        <v>67</v>
      </c>
      <c r="D237" t="str">
        <f>CONCATENATE("0060018038","")</f>
        <v>0060018038</v>
      </c>
      <c r="E237" t="str">
        <f>CONCATENATE("0120238000110       ","")</f>
        <v xml:space="preserve">0120238000110       </v>
      </c>
      <c r="F237" t="str">
        <f>CONCATENATE("0606095320","")</f>
        <v>0606095320</v>
      </c>
      <c r="G237" t="s">
        <v>474</v>
      </c>
      <c r="H237" t="s">
        <v>478</v>
      </c>
      <c r="I237" t="s">
        <v>476</v>
      </c>
      <c r="J237" t="str">
        <f t="shared" si="28"/>
        <v>081207</v>
      </c>
      <c r="K237" t="s">
        <v>22</v>
      </c>
      <c r="L237" t="s">
        <v>23</v>
      </c>
      <c r="M237" t="str">
        <f t="shared" si="24"/>
        <v>1</v>
      </c>
      <c r="O237" t="str">
        <f>CONCATENATE("6 ","")</f>
        <v xml:space="preserve">6 </v>
      </c>
      <c r="P237">
        <v>40.75</v>
      </c>
      <c r="Q237" t="s">
        <v>24</v>
      </c>
    </row>
    <row r="238" spans="1:17" x14ac:dyDescent="0.25">
      <c r="A238" t="s">
        <v>17</v>
      </c>
      <c r="B238" s="1">
        <v>41718</v>
      </c>
      <c r="C238" t="s">
        <v>67</v>
      </c>
      <c r="D238" t="str">
        <f>CONCATENATE("0060018042","")</f>
        <v>0060018042</v>
      </c>
      <c r="E238" t="str">
        <f>CONCATENATE("0120238000150       ","")</f>
        <v xml:space="preserve">0120238000150       </v>
      </c>
      <c r="F238" t="str">
        <f>CONCATENATE("0606143781","")</f>
        <v>0606143781</v>
      </c>
      <c r="G238" t="s">
        <v>474</v>
      </c>
      <c r="H238" t="s">
        <v>479</v>
      </c>
      <c r="I238" t="s">
        <v>476</v>
      </c>
      <c r="J238" t="str">
        <f t="shared" si="28"/>
        <v>081207</v>
      </c>
      <c r="K238" t="s">
        <v>22</v>
      </c>
      <c r="L238" t="s">
        <v>23</v>
      </c>
      <c r="M238" t="str">
        <f t="shared" si="24"/>
        <v>1</v>
      </c>
      <c r="O238" t="str">
        <f>CONCATENATE("3 ","")</f>
        <v xml:space="preserve">3 </v>
      </c>
      <c r="P238">
        <v>26.85</v>
      </c>
      <c r="Q238" t="s">
        <v>24</v>
      </c>
    </row>
    <row r="239" spans="1:17" x14ac:dyDescent="0.25">
      <c r="A239" t="s">
        <v>17</v>
      </c>
      <c r="B239" s="1">
        <v>41718</v>
      </c>
      <c r="C239" t="s">
        <v>67</v>
      </c>
      <c r="D239" t="str">
        <f>CONCATENATE("0060018223","")</f>
        <v>0060018223</v>
      </c>
      <c r="E239" t="str">
        <f>CONCATENATE("0120238000230       ","")</f>
        <v xml:space="preserve">0120238000230       </v>
      </c>
      <c r="F239" t="str">
        <f>CONCATENATE("0606143790","")</f>
        <v>0606143790</v>
      </c>
      <c r="G239" t="s">
        <v>432</v>
      </c>
      <c r="H239" t="s">
        <v>480</v>
      </c>
      <c r="I239" t="s">
        <v>476</v>
      </c>
      <c r="J239" t="str">
        <f t="shared" si="28"/>
        <v>081207</v>
      </c>
      <c r="K239" t="s">
        <v>22</v>
      </c>
      <c r="L239" t="s">
        <v>23</v>
      </c>
      <c r="M239" t="str">
        <f t="shared" si="24"/>
        <v>1</v>
      </c>
      <c r="O239" t="str">
        <f>CONCATENATE("1 ","")</f>
        <v xml:space="preserve">1 </v>
      </c>
      <c r="P239">
        <v>12.9</v>
      </c>
      <c r="Q239" t="s">
        <v>24</v>
      </c>
    </row>
    <row r="240" spans="1:17" x14ac:dyDescent="0.25">
      <c r="A240" t="s">
        <v>17</v>
      </c>
      <c r="B240" s="1">
        <v>41718</v>
      </c>
      <c r="C240" t="s">
        <v>67</v>
      </c>
      <c r="D240" t="str">
        <f>CONCATENATE("0060018224","")</f>
        <v>0060018224</v>
      </c>
      <c r="E240" t="str">
        <f>CONCATENATE("0120238000240       ","")</f>
        <v xml:space="preserve">0120238000240       </v>
      </c>
      <c r="F240" t="str">
        <f>CONCATENATE("1606095311","")</f>
        <v>1606095311</v>
      </c>
      <c r="G240" t="s">
        <v>432</v>
      </c>
      <c r="H240" t="s">
        <v>481</v>
      </c>
      <c r="I240" t="s">
        <v>476</v>
      </c>
      <c r="J240" t="str">
        <f t="shared" si="28"/>
        <v>081207</v>
      </c>
      <c r="K240" t="s">
        <v>22</v>
      </c>
      <c r="L240" t="s">
        <v>23</v>
      </c>
      <c r="M240" t="str">
        <f t="shared" si="24"/>
        <v>1</v>
      </c>
      <c r="O240" t="str">
        <f>CONCATENATE("2 ","")</f>
        <v xml:space="preserve">2 </v>
      </c>
      <c r="P240">
        <v>19.850000000000001</v>
      </c>
      <c r="Q240" t="s">
        <v>24</v>
      </c>
    </row>
    <row r="241" spans="1:17" x14ac:dyDescent="0.25">
      <c r="A241" t="s">
        <v>17</v>
      </c>
      <c r="B241" s="1">
        <v>41718</v>
      </c>
      <c r="C241" t="s">
        <v>67</v>
      </c>
      <c r="D241" t="str">
        <f>CONCATENATE("0060018225","")</f>
        <v>0060018225</v>
      </c>
      <c r="E241" t="str">
        <f>CONCATENATE("0120238000250       ","")</f>
        <v xml:space="preserve">0120238000250       </v>
      </c>
      <c r="F241" t="str">
        <f>CONCATENATE("0606143787","")</f>
        <v>0606143787</v>
      </c>
      <c r="G241" t="s">
        <v>432</v>
      </c>
      <c r="H241" t="s">
        <v>482</v>
      </c>
      <c r="I241" t="s">
        <v>476</v>
      </c>
      <c r="J241" t="str">
        <f t="shared" si="28"/>
        <v>081207</v>
      </c>
      <c r="K241" t="s">
        <v>22</v>
      </c>
      <c r="L241" t="s">
        <v>23</v>
      </c>
      <c r="M241" t="str">
        <f t="shared" si="24"/>
        <v>1</v>
      </c>
      <c r="O241" t="str">
        <f>CONCATENATE("4 ","")</f>
        <v xml:space="preserve">4 </v>
      </c>
      <c r="P241">
        <v>38.25</v>
      </c>
      <c r="Q241" t="s">
        <v>24</v>
      </c>
    </row>
    <row r="242" spans="1:17" x14ac:dyDescent="0.25">
      <c r="A242" t="s">
        <v>17</v>
      </c>
      <c r="B242" s="1">
        <v>41718</v>
      </c>
      <c r="C242" t="s">
        <v>289</v>
      </c>
      <c r="D242" t="str">
        <f>CONCATENATE("0060011617","")</f>
        <v>0060011617</v>
      </c>
      <c r="E242" t="str">
        <f>CONCATENATE("0120240000490       ","")</f>
        <v xml:space="preserve">0120240000490       </v>
      </c>
      <c r="F242" t="str">
        <f>CONCATENATE("605112876","")</f>
        <v>605112876</v>
      </c>
      <c r="G242" t="s">
        <v>483</v>
      </c>
      <c r="H242" t="s">
        <v>484</v>
      </c>
      <c r="I242" t="s">
        <v>485</v>
      </c>
      <c r="J242" t="str">
        <f>CONCATENATE("081202","")</f>
        <v>081202</v>
      </c>
      <c r="K242" t="s">
        <v>22</v>
      </c>
      <c r="L242" t="s">
        <v>23</v>
      </c>
      <c r="M242" t="str">
        <f t="shared" ref="M242:M305" si="29">CONCATENATE("1","")</f>
        <v>1</v>
      </c>
      <c r="O242" t="str">
        <f t="shared" ref="O242:O249" si="30">CONCATENATE("1 ","")</f>
        <v xml:space="preserve">1 </v>
      </c>
      <c r="P242">
        <v>13.05</v>
      </c>
      <c r="Q242" t="s">
        <v>24</v>
      </c>
    </row>
    <row r="243" spans="1:17" x14ac:dyDescent="0.25">
      <c r="A243" t="s">
        <v>17</v>
      </c>
      <c r="B243" s="1">
        <v>41718</v>
      </c>
      <c r="C243" t="s">
        <v>486</v>
      </c>
      <c r="D243" t="str">
        <f>CONCATENATE("0060003058","")</f>
        <v>0060003058</v>
      </c>
      <c r="E243" t="str">
        <f>CONCATENATE("0120401000080       ","")</f>
        <v xml:space="preserve">0120401000080       </v>
      </c>
      <c r="F243" t="str">
        <f>CONCATENATE("605352801","")</f>
        <v>605352801</v>
      </c>
      <c r="G243" t="s">
        <v>487</v>
      </c>
      <c r="H243" t="s">
        <v>488</v>
      </c>
      <c r="I243" t="s">
        <v>489</v>
      </c>
      <c r="J243" t="str">
        <f>CONCATENATE("081205","")</f>
        <v>081205</v>
      </c>
      <c r="K243" t="s">
        <v>22</v>
      </c>
      <c r="L243" t="s">
        <v>23</v>
      </c>
      <c r="M243" t="str">
        <f t="shared" si="29"/>
        <v>1</v>
      </c>
      <c r="O243" t="str">
        <f t="shared" si="30"/>
        <v xml:space="preserve">1 </v>
      </c>
      <c r="P243">
        <v>12.05</v>
      </c>
      <c r="Q243" t="s">
        <v>24</v>
      </c>
    </row>
    <row r="244" spans="1:17" x14ac:dyDescent="0.25">
      <c r="A244" t="s">
        <v>17</v>
      </c>
      <c r="B244" s="1">
        <v>41718</v>
      </c>
      <c r="C244" t="s">
        <v>486</v>
      </c>
      <c r="D244" t="str">
        <f>CONCATENATE("0060009167","")</f>
        <v>0060009167</v>
      </c>
      <c r="E244" t="str">
        <f>CONCATENATE("0120401000085       ","")</f>
        <v xml:space="preserve">0120401000085       </v>
      </c>
      <c r="F244" t="str">
        <f>CONCATENATE("605877848","")</f>
        <v>605877848</v>
      </c>
      <c r="G244" t="s">
        <v>487</v>
      </c>
      <c r="H244" t="s">
        <v>490</v>
      </c>
      <c r="I244" t="s">
        <v>491</v>
      </c>
      <c r="J244" t="str">
        <f>CONCATENATE("081205","")</f>
        <v>081205</v>
      </c>
      <c r="K244" t="s">
        <v>22</v>
      </c>
      <c r="L244" t="s">
        <v>23</v>
      </c>
      <c r="M244" t="str">
        <f t="shared" si="29"/>
        <v>1</v>
      </c>
      <c r="O244" t="str">
        <f t="shared" si="30"/>
        <v xml:space="preserve">1 </v>
      </c>
      <c r="P244">
        <v>31.25</v>
      </c>
      <c r="Q244" t="s">
        <v>24</v>
      </c>
    </row>
    <row r="245" spans="1:17" x14ac:dyDescent="0.25">
      <c r="A245" t="s">
        <v>17</v>
      </c>
      <c r="B245" s="1">
        <v>41718</v>
      </c>
      <c r="C245" t="s">
        <v>486</v>
      </c>
      <c r="D245" t="str">
        <f>CONCATENATE("0060003060","")</f>
        <v>0060003060</v>
      </c>
      <c r="E245" t="str">
        <f>CONCATENATE("0120401000100       ","")</f>
        <v xml:space="preserve">0120401000100       </v>
      </c>
      <c r="F245" t="str">
        <f>CONCATENATE("1812273","")</f>
        <v>1812273</v>
      </c>
      <c r="G245" t="s">
        <v>487</v>
      </c>
      <c r="H245" t="s">
        <v>492</v>
      </c>
      <c r="I245" t="s">
        <v>493</v>
      </c>
      <c r="J245" t="str">
        <f>CONCATENATE("081205","")</f>
        <v>081205</v>
      </c>
      <c r="K245" t="s">
        <v>22</v>
      </c>
      <c r="L245" t="s">
        <v>23</v>
      </c>
      <c r="M245" t="str">
        <f t="shared" si="29"/>
        <v>1</v>
      </c>
      <c r="O245" t="str">
        <f t="shared" si="30"/>
        <v xml:space="preserve">1 </v>
      </c>
      <c r="P245">
        <v>17.25</v>
      </c>
      <c r="Q245" t="s">
        <v>24</v>
      </c>
    </row>
    <row r="246" spans="1:17" x14ac:dyDescent="0.25">
      <c r="A246" t="s">
        <v>17</v>
      </c>
      <c r="B246" s="1">
        <v>41718</v>
      </c>
      <c r="C246" t="s">
        <v>140</v>
      </c>
      <c r="D246" t="str">
        <f>CONCATENATE("0060010771","")</f>
        <v>0060010771</v>
      </c>
      <c r="E246" t="str">
        <f>CONCATENATE("0120401000125       ","")</f>
        <v xml:space="preserve">0120401000125       </v>
      </c>
      <c r="F246" t="str">
        <f>CONCATENATE("1068365","")</f>
        <v>1068365</v>
      </c>
      <c r="G246" t="s">
        <v>487</v>
      </c>
      <c r="H246" t="s">
        <v>494</v>
      </c>
      <c r="I246" t="s">
        <v>491</v>
      </c>
      <c r="J246" t="str">
        <f>CONCATENATE("081201","")</f>
        <v>081201</v>
      </c>
      <c r="K246" t="s">
        <v>22</v>
      </c>
      <c r="L246" t="s">
        <v>23</v>
      </c>
      <c r="M246" t="str">
        <f t="shared" si="29"/>
        <v>1</v>
      </c>
      <c r="O246" t="str">
        <f t="shared" si="30"/>
        <v xml:space="preserve">1 </v>
      </c>
      <c r="P246">
        <v>10.5</v>
      </c>
      <c r="Q246" t="s">
        <v>24</v>
      </c>
    </row>
    <row r="247" spans="1:17" x14ac:dyDescent="0.25">
      <c r="A247" t="s">
        <v>17</v>
      </c>
      <c r="B247" s="1">
        <v>41718</v>
      </c>
      <c r="C247" t="s">
        <v>486</v>
      </c>
      <c r="D247" t="str">
        <f>CONCATENATE("0060003069","")</f>
        <v>0060003069</v>
      </c>
      <c r="E247" t="str">
        <f>CONCATENATE("0120401000190       ","")</f>
        <v xml:space="preserve">0120401000190       </v>
      </c>
      <c r="F247" t="str">
        <f>CONCATENATE("00765987","")</f>
        <v>00765987</v>
      </c>
      <c r="G247" t="s">
        <v>487</v>
      </c>
      <c r="H247" t="s">
        <v>495</v>
      </c>
      <c r="I247" t="s">
        <v>489</v>
      </c>
      <c r="J247" t="str">
        <f>CONCATENATE("081205","")</f>
        <v>081205</v>
      </c>
      <c r="K247" t="s">
        <v>22</v>
      </c>
      <c r="L247" t="s">
        <v>23</v>
      </c>
      <c r="M247" t="str">
        <f t="shared" si="29"/>
        <v>1</v>
      </c>
      <c r="O247" t="str">
        <f t="shared" si="30"/>
        <v xml:space="preserve">1 </v>
      </c>
      <c r="P247">
        <v>25.1</v>
      </c>
      <c r="Q247" t="s">
        <v>24</v>
      </c>
    </row>
    <row r="248" spans="1:17" x14ac:dyDescent="0.25">
      <c r="A248" t="s">
        <v>17</v>
      </c>
      <c r="B248" s="1">
        <v>41718</v>
      </c>
      <c r="C248" t="s">
        <v>486</v>
      </c>
      <c r="D248" t="str">
        <f>CONCATENATE("0060003075","")</f>
        <v>0060003075</v>
      </c>
      <c r="E248" t="str">
        <f>CONCATENATE("0120401000250       ","")</f>
        <v xml:space="preserve">0120401000250       </v>
      </c>
      <c r="F248" t="str">
        <f>CONCATENATE("605352791","")</f>
        <v>605352791</v>
      </c>
      <c r="G248" t="s">
        <v>487</v>
      </c>
      <c r="H248" t="s">
        <v>496</v>
      </c>
      <c r="I248" t="s">
        <v>489</v>
      </c>
      <c r="J248" t="str">
        <f>CONCATENATE("081205","")</f>
        <v>081205</v>
      </c>
      <c r="K248" t="s">
        <v>22</v>
      </c>
      <c r="L248" t="s">
        <v>23</v>
      </c>
      <c r="M248" t="str">
        <f t="shared" si="29"/>
        <v>1</v>
      </c>
      <c r="O248" t="str">
        <f t="shared" si="30"/>
        <v xml:space="preserve">1 </v>
      </c>
      <c r="P248">
        <v>21.5</v>
      </c>
      <c r="Q248" t="s">
        <v>24</v>
      </c>
    </row>
    <row r="249" spans="1:17" x14ac:dyDescent="0.25">
      <c r="A249" t="s">
        <v>17</v>
      </c>
      <c r="B249" s="1">
        <v>41718</v>
      </c>
      <c r="C249" t="s">
        <v>486</v>
      </c>
      <c r="D249" t="str">
        <f>CONCATENATE("0060012569","")</f>
        <v>0060012569</v>
      </c>
      <c r="E249" t="str">
        <f>CONCATENATE("0120401000353       ","")</f>
        <v xml:space="preserve">0120401000353       </v>
      </c>
      <c r="F249" t="str">
        <f>CONCATENATE("605084660","")</f>
        <v>605084660</v>
      </c>
      <c r="G249" t="s">
        <v>487</v>
      </c>
      <c r="H249" t="s">
        <v>497</v>
      </c>
      <c r="I249" t="s">
        <v>498</v>
      </c>
      <c r="J249" t="str">
        <f>CONCATENATE("081205","")</f>
        <v>081205</v>
      </c>
      <c r="K249" t="s">
        <v>22</v>
      </c>
      <c r="L249" t="s">
        <v>23</v>
      </c>
      <c r="M249" t="str">
        <f t="shared" si="29"/>
        <v>1</v>
      </c>
      <c r="O249" t="str">
        <f t="shared" si="30"/>
        <v xml:space="preserve">1 </v>
      </c>
      <c r="P249">
        <v>15.3</v>
      </c>
      <c r="Q249" t="s">
        <v>24</v>
      </c>
    </row>
    <row r="250" spans="1:17" x14ac:dyDescent="0.25">
      <c r="A250" t="s">
        <v>17</v>
      </c>
      <c r="B250" s="1">
        <v>41718</v>
      </c>
      <c r="C250" t="s">
        <v>140</v>
      </c>
      <c r="D250" t="str">
        <f>CONCATENATE("0060011431","")</f>
        <v>0060011431</v>
      </c>
      <c r="E250" t="str">
        <f>CONCATENATE("0120401000445       ","")</f>
        <v xml:space="preserve">0120401000445       </v>
      </c>
      <c r="F250" t="str">
        <f>CONCATENATE("01117382","")</f>
        <v>01117382</v>
      </c>
      <c r="G250" t="s">
        <v>487</v>
      </c>
      <c r="H250" t="s">
        <v>499</v>
      </c>
      <c r="I250" t="s">
        <v>500</v>
      </c>
      <c r="J250" t="str">
        <f>CONCATENATE("081205","")</f>
        <v>081205</v>
      </c>
      <c r="K250" t="s">
        <v>22</v>
      </c>
      <c r="L250" t="s">
        <v>23</v>
      </c>
      <c r="M250" t="str">
        <f t="shared" si="29"/>
        <v>1</v>
      </c>
      <c r="O250" t="str">
        <f>CONCATENATE("2 ","")</f>
        <v xml:space="preserve">2 </v>
      </c>
      <c r="P250">
        <v>19.75</v>
      </c>
      <c r="Q250" t="s">
        <v>24</v>
      </c>
    </row>
    <row r="251" spans="1:17" x14ac:dyDescent="0.25">
      <c r="A251" t="s">
        <v>17</v>
      </c>
      <c r="B251" s="1">
        <v>41718</v>
      </c>
      <c r="C251" t="s">
        <v>140</v>
      </c>
      <c r="D251" t="str">
        <f>CONCATENATE("0060010564","")</f>
        <v>0060010564</v>
      </c>
      <c r="E251" t="str">
        <f>CONCATENATE("0120401000465       ","")</f>
        <v xml:space="preserve">0120401000465       </v>
      </c>
      <c r="F251" t="str">
        <f>CONCATENATE("503003503","")</f>
        <v>503003503</v>
      </c>
      <c r="G251" t="s">
        <v>487</v>
      </c>
      <c r="H251" t="s">
        <v>501</v>
      </c>
      <c r="I251" t="s">
        <v>502</v>
      </c>
      <c r="J251" t="str">
        <f>CONCATENATE("081201","")</f>
        <v>081201</v>
      </c>
      <c r="K251" t="s">
        <v>22</v>
      </c>
      <c r="L251" t="s">
        <v>23</v>
      </c>
      <c r="M251" t="str">
        <f t="shared" si="29"/>
        <v>1</v>
      </c>
      <c r="O251" t="str">
        <f t="shared" ref="O251:O259" si="31">CONCATENATE("1 ","")</f>
        <v xml:space="preserve">1 </v>
      </c>
      <c r="P251">
        <v>31.1</v>
      </c>
      <c r="Q251" t="s">
        <v>24</v>
      </c>
    </row>
    <row r="252" spans="1:17" x14ac:dyDescent="0.25">
      <c r="A252" t="s">
        <v>17</v>
      </c>
      <c r="B252" s="1">
        <v>41718</v>
      </c>
      <c r="C252" t="s">
        <v>486</v>
      </c>
      <c r="D252" t="str">
        <f>CONCATENATE("0060015865","")</f>
        <v>0060015865</v>
      </c>
      <c r="E252" t="str">
        <f>CONCATENATE("0120401000520       ","")</f>
        <v xml:space="preserve">0120401000520       </v>
      </c>
      <c r="F252" t="str">
        <f>CONCATENATE("1670682","")</f>
        <v>1670682</v>
      </c>
      <c r="G252" t="s">
        <v>487</v>
      </c>
      <c r="H252" t="s">
        <v>503</v>
      </c>
      <c r="I252" t="s">
        <v>504</v>
      </c>
      <c r="J252" t="str">
        <f t="shared" ref="J252:J283" si="32">CONCATENATE("081205","")</f>
        <v>081205</v>
      </c>
      <c r="K252" t="s">
        <v>22</v>
      </c>
      <c r="L252" t="s">
        <v>23</v>
      </c>
      <c r="M252" t="str">
        <f t="shared" si="29"/>
        <v>1</v>
      </c>
      <c r="O252" t="str">
        <f t="shared" si="31"/>
        <v xml:space="preserve">1 </v>
      </c>
      <c r="P252">
        <v>14.95</v>
      </c>
      <c r="Q252" t="s">
        <v>24</v>
      </c>
    </row>
    <row r="253" spans="1:17" x14ac:dyDescent="0.25">
      <c r="A253" t="s">
        <v>17</v>
      </c>
      <c r="B253" s="1">
        <v>41718</v>
      </c>
      <c r="C253" t="s">
        <v>486</v>
      </c>
      <c r="D253" t="str">
        <f>CONCATENATE("0060003103","")</f>
        <v>0060003103</v>
      </c>
      <c r="E253" t="str">
        <f>CONCATENATE("0120402000060       ","")</f>
        <v xml:space="preserve">0120402000060       </v>
      </c>
      <c r="F253" t="str">
        <f>CONCATENATE("2127899","")</f>
        <v>2127899</v>
      </c>
      <c r="G253" t="s">
        <v>505</v>
      </c>
      <c r="H253" t="s">
        <v>506</v>
      </c>
      <c r="I253" t="s">
        <v>507</v>
      </c>
      <c r="J253" t="str">
        <f t="shared" si="32"/>
        <v>081205</v>
      </c>
      <c r="K253" t="s">
        <v>22</v>
      </c>
      <c r="L253" t="s">
        <v>23</v>
      </c>
      <c r="M253" t="str">
        <f t="shared" si="29"/>
        <v>1</v>
      </c>
      <c r="O253" t="str">
        <f t="shared" si="31"/>
        <v xml:space="preserve">1 </v>
      </c>
      <c r="P253">
        <v>34.799999999999997</v>
      </c>
      <c r="Q253" t="s">
        <v>24</v>
      </c>
    </row>
    <row r="254" spans="1:17" x14ac:dyDescent="0.25">
      <c r="A254" t="s">
        <v>17</v>
      </c>
      <c r="B254" s="1">
        <v>41718</v>
      </c>
      <c r="C254" t="s">
        <v>486</v>
      </c>
      <c r="D254" t="str">
        <f>CONCATENATE("0060003111","")</f>
        <v>0060003111</v>
      </c>
      <c r="E254" t="str">
        <f>CONCATENATE("0120402000140       ","")</f>
        <v xml:space="preserve">0120402000140       </v>
      </c>
      <c r="F254" t="str">
        <f>CONCATENATE("605282122","")</f>
        <v>605282122</v>
      </c>
      <c r="G254" t="s">
        <v>505</v>
      </c>
      <c r="H254" t="s">
        <v>508</v>
      </c>
      <c r="I254" t="s">
        <v>507</v>
      </c>
      <c r="J254" t="str">
        <f t="shared" si="32"/>
        <v>081205</v>
      </c>
      <c r="K254" t="s">
        <v>22</v>
      </c>
      <c r="L254" t="s">
        <v>23</v>
      </c>
      <c r="M254" t="str">
        <f t="shared" si="29"/>
        <v>1</v>
      </c>
      <c r="O254" t="str">
        <f t="shared" si="31"/>
        <v xml:space="preserve">1 </v>
      </c>
      <c r="P254">
        <v>19</v>
      </c>
      <c r="Q254" t="s">
        <v>24</v>
      </c>
    </row>
    <row r="255" spans="1:17" x14ac:dyDescent="0.25">
      <c r="A255" t="s">
        <v>17</v>
      </c>
      <c r="B255" s="1">
        <v>41718</v>
      </c>
      <c r="C255" t="s">
        <v>486</v>
      </c>
      <c r="D255" t="str">
        <f>CONCATENATE("0060014768","")</f>
        <v>0060014768</v>
      </c>
      <c r="E255" t="str">
        <f>CONCATENATE("0120402000158       ","")</f>
        <v xml:space="preserve">0120402000158       </v>
      </c>
      <c r="F255" t="str">
        <f>CONCATENATE("605933430","")</f>
        <v>605933430</v>
      </c>
      <c r="G255" t="s">
        <v>505</v>
      </c>
      <c r="H255" t="s">
        <v>509</v>
      </c>
      <c r="I255" t="s">
        <v>510</v>
      </c>
      <c r="J255" t="str">
        <f t="shared" si="32"/>
        <v>081205</v>
      </c>
      <c r="K255" t="s">
        <v>22</v>
      </c>
      <c r="L255" t="s">
        <v>23</v>
      </c>
      <c r="M255" t="str">
        <f t="shared" si="29"/>
        <v>1</v>
      </c>
      <c r="O255" t="str">
        <f t="shared" si="31"/>
        <v xml:space="preserve">1 </v>
      </c>
      <c r="P255">
        <v>45.45</v>
      </c>
      <c r="Q255" t="s">
        <v>24</v>
      </c>
    </row>
    <row r="256" spans="1:17" x14ac:dyDescent="0.25">
      <c r="A256" t="s">
        <v>17</v>
      </c>
      <c r="B256" s="1">
        <v>41718</v>
      </c>
      <c r="C256" t="s">
        <v>486</v>
      </c>
      <c r="D256" t="str">
        <f>CONCATENATE("0060003118","")</f>
        <v>0060003118</v>
      </c>
      <c r="E256" t="str">
        <f>CONCATENATE("0120402000210       ","")</f>
        <v xml:space="preserve">0120402000210       </v>
      </c>
      <c r="F256" t="str">
        <f>CONCATENATE("605292112","")</f>
        <v>605292112</v>
      </c>
      <c r="G256" t="s">
        <v>505</v>
      </c>
      <c r="H256" t="s">
        <v>511</v>
      </c>
      <c r="I256" t="s">
        <v>507</v>
      </c>
      <c r="J256" t="str">
        <f t="shared" si="32"/>
        <v>081205</v>
      </c>
      <c r="K256" t="s">
        <v>22</v>
      </c>
      <c r="L256" t="s">
        <v>23</v>
      </c>
      <c r="M256" t="str">
        <f t="shared" si="29"/>
        <v>1</v>
      </c>
      <c r="O256" t="str">
        <f t="shared" si="31"/>
        <v xml:space="preserve">1 </v>
      </c>
      <c r="P256">
        <v>33.450000000000003</v>
      </c>
      <c r="Q256" t="s">
        <v>24</v>
      </c>
    </row>
    <row r="257" spans="1:17" x14ac:dyDescent="0.25">
      <c r="A257" t="s">
        <v>17</v>
      </c>
      <c r="B257" s="1">
        <v>41718</v>
      </c>
      <c r="C257" t="s">
        <v>486</v>
      </c>
      <c r="D257" t="str">
        <f>CONCATENATE("0060003119","")</f>
        <v>0060003119</v>
      </c>
      <c r="E257" t="str">
        <f>CONCATENATE("0120402000220       ","")</f>
        <v xml:space="preserve">0120402000220       </v>
      </c>
      <c r="F257" t="str">
        <f>CONCATENATE("2127891","")</f>
        <v>2127891</v>
      </c>
      <c r="G257" t="s">
        <v>505</v>
      </c>
      <c r="H257" t="s">
        <v>512</v>
      </c>
      <c r="I257" t="s">
        <v>507</v>
      </c>
      <c r="J257" t="str">
        <f t="shared" si="32"/>
        <v>081205</v>
      </c>
      <c r="K257" t="s">
        <v>22</v>
      </c>
      <c r="L257" t="s">
        <v>23</v>
      </c>
      <c r="M257" t="str">
        <f t="shared" si="29"/>
        <v>1</v>
      </c>
      <c r="O257" t="str">
        <f t="shared" si="31"/>
        <v xml:space="preserve">1 </v>
      </c>
      <c r="P257">
        <v>18.2</v>
      </c>
      <c r="Q257" t="s">
        <v>24</v>
      </c>
    </row>
    <row r="258" spans="1:17" x14ac:dyDescent="0.25">
      <c r="A258" t="s">
        <v>17</v>
      </c>
      <c r="B258" s="1">
        <v>41718</v>
      </c>
      <c r="C258" t="s">
        <v>486</v>
      </c>
      <c r="D258" t="str">
        <f>CONCATENATE("0060009467","")</f>
        <v>0060009467</v>
      </c>
      <c r="E258" t="str">
        <f>CONCATENATE("0120402000305       ","")</f>
        <v xml:space="preserve">0120402000305       </v>
      </c>
      <c r="F258" t="str">
        <f>CONCATENATE("00551307","")</f>
        <v>00551307</v>
      </c>
      <c r="G258" t="s">
        <v>505</v>
      </c>
      <c r="H258" t="s">
        <v>513</v>
      </c>
      <c r="I258" t="s">
        <v>514</v>
      </c>
      <c r="J258" t="str">
        <f t="shared" si="32"/>
        <v>081205</v>
      </c>
      <c r="K258" t="s">
        <v>22</v>
      </c>
      <c r="L258" t="s">
        <v>23</v>
      </c>
      <c r="M258" t="str">
        <f t="shared" si="29"/>
        <v>1</v>
      </c>
      <c r="O258" t="str">
        <f t="shared" si="31"/>
        <v xml:space="preserve">1 </v>
      </c>
      <c r="P258">
        <v>123.65</v>
      </c>
      <c r="Q258" t="s">
        <v>24</v>
      </c>
    </row>
    <row r="259" spans="1:17" x14ac:dyDescent="0.25">
      <c r="A259" t="s">
        <v>17</v>
      </c>
      <c r="B259" s="1">
        <v>41718</v>
      </c>
      <c r="C259" t="s">
        <v>486</v>
      </c>
      <c r="D259" t="str">
        <f>CONCATENATE("0060003129","")</f>
        <v>0060003129</v>
      </c>
      <c r="E259" t="str">
        <f>CONCATENATE("0120402000350       ","")</f>
        <v xml:space="preserve">0120402000350       </v>
      </c>
      <c r="F259" t="str">
        <f>CONCATENATE("605292127","")</f>
        <v>605292127</v>
      </c>
      <c r="G259" t="s">
        <v>505</v>
      </c>
      <c r="H259" t="s">
        <v>515</v>
      </c>
      <c r="I259" t="s">
        <v>507</v>
      </c>
      <c r="J259" t="str">
        <f t="shared" si="32"/>
        <v>081205</v>
      </c>
      <c r="K259" t="s">
        <v>22</v>
      </c>
      <c r="L259" t="s">
        <v>23</v>
      </c>
      <c r="M259" t="str">
        <f t="shared" si="29"/>
        <v>1</v>
      </c>
      <c r="O259" t="str">
        <f t="shared" si="31"/>
        <v xml:space="preserve">1 </v>
      </c>
      <c r="P259">
        <v>17.149999999999999</v>
      </c>
      <c r="Q259" t="s">
        <v>24</v>
      </c>
    </row>
    <row r="260" spans="1:17" x14ac:dyDescent="0.25">
      <c r="A260" t="s">
        <v>17</v>
      </c>
      <c r="B260" s="1">
        <v>41718</v>
      </c>
      <c r="C260" t="s">
        <v>486</v>
      </c>
      <c r="D260" t="str">
        <f>CONCATENATE("0060003130","")</f>
        <v>0060003130</v>
      </c>
      <c r="E260" t="str">
        <f>CONCATENATE("0120402000360       ","")</f>
        <v xml:space="preserve">0120402000360       </v>
      </c>
      <c r="F260" t="str">
        <f>CONCATENATE("605292114","")</f>
        <v>605292114</v>
      </c>
      <c r="G260" t="s">
        <v>505</v>
      </c>
      <c r="H260" t="s">
        <v>516</v>
      </c>
      <c r="I260" t="s">
        <v>507</v>
      </c>
      <c r="J260" t="str">
        <f t="shared" si="32"/>
        <v>081205</v>
      </c>
      <c r="K260" t="s">
        <v>22</v>
      </c>
      <c r="L260" t="s">
        <v>23</v>
      </c>
      <c r="M260" t="str">
        <f t="shared" si="29"/>
        <v>1</v>
      </c>
      <c r="O260" t="str">
        <f>CONCATENATE("4 ","")</f>
        <v xml:space="preserve">4 </v>
      </c>
      <c r="P260">
        <v>25.85</v>
      </c>
      <c r="Q260" t="s">
        <v>24</v>
      </c>
    </row>
    <row r="261" spans="1:17" x14ac:dyDescent="0.25">
      <c r="A261" t="s">
        <v>17</v>
      </c>
      <c r="B261" s="1">
        <v>41718</v>
      </c>
      <c r="C261" t="s">
        <v>486</v>
      </c>
      <c r="D261" t="str">
        <f>CONCATENATE("0060003132","")</f>
        <v>0060003132</v>
      </c>
      <c r="E261" t="str">
        <f>CONCATENATE("0120402000380       ","")</f>
        <v xml:space="preserve">0120402000380       </v>
      </c>
      <c r="F261" t="str">
        <f>CONCATENATE("605751736","")</f>
        <v>605751736</v>
      </c>
      <c r="G261" t="s">
        <v>505</v>
      </c>
      <c r="H261" t="s">
        <v>517</v>
      </c>
      <c r="I261" t="s">
        <v>507</v>
      </c>
      <c r="J261" t="str">
        <f t="shared" si="32"/>
        <v>081205</v>
      </c>
      <c r="K261" t="s">
        <v>22</v>
      </c>
      <c r="L261" t="s">
        <v>23</v>
      </c>
      <c r="M261" t="str">
        <f t="shared" si="29"/>
        <v>1</v>
      </c>
      <c r="O261" t="str">
        <f>CONCATENATE("1 ","")</f>
        <v xml:space="preserve">1 </v>
      </c>
      <c r="P261">
        <v>17.3</v>
      </c>
      <c r="Q261" t="s">
        <v>24</v>
      </c>
    </row>
    <row r="262" spans="1:17" x14ac:dyDescent="0.25">
      <c r="A262" t="s">
        <v>17</v>
      </c>
      <c r="B262" s="1">
        <v>41718</v>
      </c>
      <c r="C262" t="s">
        <v>486</v>
      </c>
      <c r="D262" t="str">
        <f>CONCATENATE("0060003137","")</f>
        <v>0060003137</v>
      </c>
      <c r="E262" t="str">
        <f>CONCATENATE("0120402000430       ","")</f>
        <v xml:space="preserve">0120402000430       </v>
      </c>
      <c r="F262" t="str">
        <f>CONCATENATE("605282110","")</f>
        <v>605282110</v>
      </c>
      <c r="G262" t="s">
        <v>505</v>
      </c>
      <c r="H262" t="s">
        <v>518</v>
      </c>
      <c r="I262" t="s">
        <v>507</v>
      </c>
      <c r="J262" t="str">
        <f t="shared" si="32"/>
        <v>081205</v>
      </c>
      <c r="K262" t="s">
        <v>22</v>
      </c>
      <c r="L262" t="s">
        <v>23</v>
      </c>
      <c r="M262" t="str">
        <f t="shared" si="29"/>
        <v>1</v>
      </c>
      <c r="O262" t="str">
        <f>CONCATENATE("1 ","")</f>
        <v xml:space="preserve">1 </v>
      </c>
      <c r="P262">
        <v>26.4</v>
      </c>
      <c r="Q262" t="s">
        <v>24</v>
      </c>
    </row>
    <row r="263" spans="1:17" x14ac:dyDescent="0.25">
      <c r="A263" t="s">
        <v>17</v>
      </c>
      <c r="B263" s="1">
        <v>41718</v>
      </c>
      <c r="C263" t="s">
        <v>486</v>
      </c>
      <c r="D263" t="str">
        <f>CONCATENATE("0060003144","")</f>
        <v>0060003144</v>
      </c>
      <c r="E263" t="str">
        <f>CONCATENATE("0120402000500       ","")</f>
        <v xml:space="preserve">0120402000500       </v>
      </c>
      <c r="F263" t="str">
        <f>CONCATENATE("605282136","")</f>
        <v>605282136</v>
      </c>
      <c r="G263" t="s">
        <v>505</v>
      </c>
      <c r="H263" t="s">
        <v>519</v>
      </c>
      <c r="I263" t="s">
        <v>507</v>
      </c>
      <c r="J263" t="str">
        <f t="shared" si="32"/>
        <v>081205</v>
      </c>
      <c r="K263" t="s">
        <v>22</v>
      </c>
      <c r="L263" t="s">
        <v>23</v>
      </c>
      <c r="M263" t="str">
        <f t="shared" si="29"/>
        <v>1</v>
      </c>
      <c r="O263" t="str">
        <f>CONCATENATE("1 ","")</f>
        <v xml:space="preserve">1 </v>
      </c>
      <c r="P263">
        <v>13.8</v>
      </c>
      <c r="Q263" t="s">
        <v>24</v>
      </c>
    </row>
    <row r="264" spans="1:17" x14ac:dyDescent="0.25">
      <c r="A264" t="s">
        <v>17</v>
      </c>
      <c r="B264" s="1">
        <v>41718</v>
      </c>
      <c r="C264" t="s">
        <v>486</v>
      </c>
      <c r="D264" t="str">
        <f>CONCATENATE("0060014614","")</f>
        <v>0060014614</v>
      </c>
      <c r="E264" t="str">
        <f>CONCATENATE("0120402000615       ","")</f>
        <v xml:space="preserve">0120402000615       </v>
      </c>
      <c r="F264" t="str">
        <f>CONCATENATE("605931639","")</f>
        <v>605931639</v>
      </c>
      <c r="G264" t="s">
        <v>505</v>
      </c>
      <c r="H264" t="s">
        <v>520</v>
      </c>
      <c r="I264" t="s">
        <v>521</v>
      </c>
      <c r="J264" t="str">
        <f t="shared" si="32"/>
        <v>081205</v>
      </c>
      <c r="K264" t="s">
        <v>22</v>
      </c>
      <c r="L264" t="s">
        <v>23</v>
      </c>
      <c r="M264" t="str">
        <f t="shared" si="29"/>
        <v>1</v>
      </c>
      <c r="O264" t="str">
        <f>CONCATENATE("1 ","")</f>
        <v xml:space="preserve">1 </v>
      </c>
      <c r="P264">
        <v>45.9</v>
      </c>
      <c r="Q264" t="s">
        <v>24</v>
      </c>
    </row>
    <row r="265" spans="1:17" x14ac:dyDescent="0.25">
      <c r="A265" t="s">
        <v>17</v>
      </c>
      <c r="B265" s="1">
        <v>41718</v>
      </c>
      <c r="C265" t="s">
        <v>486</v>
      </c>
      <c r="D265" t="str">
        <f>CONCATENATE("0060003155","")</f>
        <v>0060003155</v>
      </c>
      <c r="E265" t="str">
        <f>CONCATENATE("0120402000620       ","")</f>
        <v xml:space="preserve">0120402000620       </v>
      </c>
      <c r="F265" t="str">
        <f>CONCATENATE("605290533","")</f>
        <v>605290533</v>
      </c>
      <c r="G265" t="s">
        <v>505</v>
      </c>
      <c r="H265" t="s">
        <v>522</v>
      </c>
      <c r="I265" t="s">
        <v>507</v>
      </c>
      <c r="J265" t="str">
        <f t="shared" si="32"/>
        <v>081205</v>
      </c>
      <c r="K265" t="s">
        <v>22</v>
      </c>
      <c r="L265" t="s">
        <v>23</v>
      </c>
      <c r="M265" t="str">
        <f t="shared" si="29"/>
        <v>1</v>
      </c>
      <c r="O265" t="str">
        <f>CONCATENATE("1 ","")</f>
        <v xml:space="preserve">1 </v>
      </c>
      <c r="P265">
        <v>20.7</v>
      </c>
      <c r="Q265" t="s">
        <v>24</v>
      </c>
    </row>
    <row r="266" spans="1:17" x14ac:dyDescent="0.25">
      <c r="A266" t="s">
        <v>17</v>
      </c>
      <c r="B266" s="1">
        <v>41718</v>
      </c>
      <c r="C266" t="s">
        <v>486</v>
      </c>
      <c r="D266" t="str">
        <f>CONCATENATE("0060003158","")</f>
        <v>0060003158</v>
      </c>
      <c r="E266" t="str">
        <f>CONCATENATE("0120402000650       ","")</f>
        <v xml:space="preserve">0120402000650       </v>
      </c>
      <c r="F266" t="str">
        <f>CONCATENATE("605290511","")</f>
        <v>605290511</v>
      </c>
      <c r="G266" t="s">
        <v>505</v>
      </c>
      <c r="H266" t="s">
        <v>523</v>
      </c>
      <c r="I266" t="s">
        <v>507</v>
      </c>
      <c r="J266" t="str">
        <f t="shared" si="32"/>
        <v>081205</v>
      </c>
      <c r="K266" t="s">
        <v>22</v>
      </c>
      <c r="L266" t="s">
        <v>23</v>
      </c>
      <c r="M266" t="str">
        <f t="shared" si="29"/>
        <v>1</v>
      </c>
      <c r="O266" t="str">
        <f>CONCATENATE("2 ","")</f>
        <v xml:space="preserve">2 </v>
      </c>
      <c r="P266">
        <v>15.8</v>
      </c>
      <c r="Q266" t="s">
        <v>24</v>
      </c>
    </row>
    <row r="267" spans="1:17" x14ac:dyDescent="0.25">
      <c r="A267" t="s">
        <v>17</v>
      </c>
      <c r="B267" s="1">
        <v>41718</v>
      </c>
      <c r="C267" t="s">
        <v>486</v>
      </c>
      <c r="D267" t="str">
        <f>CONCATENATE("0060003172","")</f>
        <v>0060003172</v>
      </c>
      <c r="E267" t="str">
        <f>CONCATENATE("0120402000800       ","")</f>
        <v xml:space="preserve">0120402000800       </v>
      </c>
      <c r="F267" t="str">
        <f>CONCATENATE("2127892","")</f>
        <v>2127892</v>
      </c>
      <c r="G267" t="s">
        <v>505</v>
      </c>
      <c r="H267" t="s">
        <v>524</v>
      </c>
      <c r="I267" t="s">
        <v>507</v>
      </c>
      <c r="J267" t="str">
        <f t="shared" si="32"/>
        <v>081205</v>
      </c>
      <c r="K267" t="s">
        <v>22</v>
      </c>
      <c r="L267" t="s">
        <v>23</v>
      </c>
      <c r="M267" t="str">
        <f t="shared" si="29"/>
        <v>1</v>
      </c>
      <c r="O267" t="str">
        <f t="shared" ref="O267:O276" si="33">CONCATENATE("1 ","")</f>
        <v xml:space="preserve">1 </v>
      </c>
      <c r="P267">
        <v>28.6</v>
      </c>
      <c r="Q267" t="s">
        <v>24</v>
      </c>
    </row>
    <row r="268" spans="1:17" x14ac:dyDescent="0.25">
      <c r="A268" t="s">
        <v>17</v>
      </c>
      <c r="B268" s="1">
        <v>41718</v>
      </c>
      <c r="C268" t="s">
        <v>486</v>
      </c>
      <c r="D268" t="str">
        <f>CONCATENATE("0060003175","")</f>
        <v>0060003175</v>
      </c>
      <c r="E268" t="str">
        <f>CONCATENATE("0120402000830       ","")</f>
        <v xml:space="preserve">0120402000830       </v>
      </c>
      <c r="F268" t="str">
        <f>CONCATENATE("605292104","")</f>
        <v>605292104</v>
      </c>
      <c r="G268" t="s">
        <v>505</v>
      </c>
      <c r="H268" t="s">
        <v>525</v>
      </c>
      <c r="I268" t="s">
        <v>507</v>
      </c>
      <c r="J268" t="str">
        <f t="shared" si="32"/>
        <v>081205</v>
      </c>
      <c r="K268" t="s">
        <v>22</v>
      </c>
      <c r="L268" t="s">
        <v>23</v>
      </c>
      <c r="M268" t="str">
        <f t="shared" si="29"/>
        <v>1</v>
      </c>
      <c r="O268" t="str">
        <f t="shared" si="33"/>
        <v xml:space="preserve">1 </v>
      </c>
      <c r="P268">
        <v>28.9</v>
      </c>
      <c r="Q268" t="s">
        <v>24</v>
      </c>
    </row>
    <row r="269" spans="1:17" x14ac:dyDescent="0.25">
      <c r="A269" t="s">
        <v>17</v>
      </c>
      <c r="B269" s="1">
        <v>41718</v>
      </c>
      <c r="C269" t="s">
        <v>486</v>
      </c>
      <c r="D269" t="str">
        <f>CONCATENATE("0060003179","")</f>
        <v>0060003179</v>
      </c>
      <c r="E269" t="str">
        <f>CONCATENATE("0120403000040       ","")</f>
        <v xml:space="preserve">0120403000040       </v>
      </c>
      <c r="F269" t="str">
        <f>CONCATENATE("605353742","")</f>
        <v>605353742</v>
      </c>
      <c r="G269" t="s">
        <v>526</v>
      </c>
      <c r="H269" t="s">
        <v>527</v>
      </c>
      <c r="I269" t="s">
        <v>528</v>
      </c>
      <c r="J269" t="str">
        <f t="shared" si="32"/>
        <v>081205</v>
      </c>
      <c r="K269" t="s">
        <v>22</v>
      </c>
      <c r="L269" t="s">
        <v>23</v>
      </c>
      <c r="M269" t="str">
        <f t="shared" si="29"/>
        <v>1</v>
      </c>
      <c r="O269" t="str">
        <f t="shared" si="33"/>
        <v xml:space="preserve">1 </v>
      </c>
      <c r="P269">
        <v>21.55</v>
      </c>
      <c r="Q269" t="s">
        <v>24</v>
      </c>
    </row>
    <row r="270" spans="1:17" x14ac:dyDescent="0.25">
      <c r="A270" t="s">
        <v>17</v>
      </c>
      <c r="B270" s="1">
        <v>41718</v>
      </c>
      <c r="C270" t="s">
        <v>486</v>
      </c>
      <c r="D270" t="str">
        <f>CONCATENATE("0060009609","")</f>
        <v>0060009609</v>
      </c>
      <c r="E270" t="str">
        <f>CONCATENATE("0120403000043       ","")</f>
        <v xml:space="preserve">0120403000043       </v>
      </c>
      <c r="F270" t="str">
        <f>CONCATENATE("00551303","")</f>
        <v>00551303</v>
      </c>
      <c r="G270" t="s">
        <v>526</v>
      </c>
      <c r="H270" t="s">
        <v>529</v>
      </c>
      <c r="I270" t="s">
        <v>528</v>
      </c>
      <c r="J270" t="str">
        <f t="shared" si="32"/>
        <v>081205</v>
      </c>
      <c r="K270" t="s">
        <v>22</v>
      </c>
      <c r="L270" t="s">
        <v>23</v>
      </c>
      <c r="M270" t="str">
        <f t="shared" si="29"/>
        <v>1</v>
      </c>
      <c r="O270" t="str">
        <f t="shared" si="33"/>
        <v xml:space="preserve">1 </v>
      </c>
      <c r="P270">
        <v>32.049999999999997</v>
      </c>
      <c r="Q270" t="s">
        <v>24</v>
      </c>
    </row>
    <row r="271" spans="1:17" x14ac:dyDescent="0.25">
      <c r="A271" t="s">
        <v>17</v>
      </c>
      <c r="B271" s="1">
        <v>41718</v>
      </c>
      <c r="C271" t="s">
        <v>486</v>
      </c>
      <c r="D271" t="str">
        <f>CONCATENATE("0060003195","")</f>
        <v>0060003195</v>
      </c>
      <c r="E271" t="str">
        <f>CONCATENATE("0120403000200       ","")</f>
        <v xml:space="preserve">0120403000200       </v>
      </c>
      <c r="F271" t="str">
        <f>CONCATENATE("605353755","")</f>
        <v>605353755</v>
      </c>
      <c r="G271" t="s">
        <v>526</v>
      </c>
      <c r="H271" t="s">
        <v>530</v>
      </c>
      <c r="I271" t="s">
        <v>528</v>
      </c>
      <c r="J271" t="str">
        <f t="shared" si="32"/>
        <v>081205</v>
      </c>
      <c r="K271" t="s">
        <v>22</v>
      </c>
      <c r="L271" t="s">
        <v>23</v>
      </c>
      <c r="M271" t="str">
        <f t="shared" si="29"/>
        <v>1</v>
      </c>
      <c r="O271" t="str">
        <f t="shared" si="33"/>
        <v xml:space="preserve">1 </v>
      </c>
      <c r="P271">
        <v>172.85</v>
      </c>
      <c r="Q271" t="s">
        <v>24</v>
      </c>
    </row>
    <row r="272" spans="1:17" x14ac:dyDescent="0.25">
      <c r="A272" t="s">
        <v>17</v>
      </c>
      <c r="B272" s="1">
        <v>41718</v>
      </c>
      <c r="C272" t="s">
        <v>486</v>
      </c>
      <c r="D272" t="str">
        <f>CONCATENATE("0060003197","")</f>
        <v>0060003197</v>
      </c>
      <c r="E272" t="str">
        <f>CONCATENATE("0120403000220       ","")</f>
        <v xml:space="preserve">0120403000220       </v>
      </c>
      <c r="F272" t="str">
        <f>CONCATENATE("605354760","")</f>
        <v>605354760</v>
      </c>
      <c r="G272" t="s">
        <v>526</v>
      </c>
      <c r="H272" t="s">
        <v>531</v>
      </c>
      <c r="I272" t="s">
        <v>528</v>
      </c>
      <c r="J272" t="str">
        <f t="shared" si="32"/>
        <v>081205</v>
      </c>
      <c r="K272" t="s">
        <v>22</v>
      </c>
      <c r="L272" t="s">
        <v>23</v>
      </c>
      <c r="M272" t="str">
        <f t="shared" si="29"/>
        <v>1</v>
      </c>
      <c r="O272" t="str">
        <f t="shared" si="33"/>
        <v xml:space="preserve">1 </v>
      </c>
      <c r="P272">
        <v>27.1</v>
      </c>
      <c r="Q272" t="s">
        <v>24</v>
      </c>
    </row>
    <row r="273" spans="1:17" x14ac:dyDescent="0.25">
      <c r="A273" t="s">
        <v>17</v>
      </c>
      <c r="B273" s="1">
        <v>41718</v>
      </c>
      <c r="C273" t="s">
        <v>486</v>
      </c>
      <c r="D273" t="str">
        <f>CONCATENATE("0060003203","")</f>
        <v>0060003203</v>
      </c>
      <c r="E273" t="str">
        <f>CONCATENATE("0120403000280       ","")</f>
        <v xml:space="preserve">0120403000280       </v>
      </c>
      <c r="F273" t="str">
        <f>CONCATENATE("605354761","")</f>
        <v>605354761</v>
      </c>
      <c r="G273" t="s">
        <v>526</v>
      </c>
      <c r="H273" t="s">
        <v>532</v>
      </c>
      <c r="I273" t="s">
        <v>528</v>
      </c>
      <c r="J273" t="str">
        <f t="shared" si="32"/>
        <v>081205</v>
      </c>
      <c r="K273" t="s">
        <v>22</v>
      </c>
      <c r="L273" t="s">
        <v>23</v>
      </c>
      <c r="M273" t="str">
        <f t="shared" si="29"/>
        <v>1</v>
      </c>
      <c r="O273" t="str">
        <f t="shared" si="33"/>
        <v xml:space="preserve">1 </v>
      </c>
      <c r="P273">
        <v>40.6</v>
      </c>
      <c r="Q273" t="s">
        <v>24</v>
      </c>
    </row>
    <row r="274" spans="1:17" x14ac:dyDescent="0.25">
      <c r="A274" t="s">
        <v>17</v>
      </c>
      <c r="B274" s="1">
        <v>41718</v>
      </c>
      <c r="C274" t="s">
        <v>486</v>
      </c>
      <c r="D274" t="str">
        <f>CONCATENATE("0060003210","")</f>
        <v>0060003210</v>
      </c>
      <c r="E274" t="str">
        <f>CONCATENATE("0120404000050       ","")</f>
        <v xml:space="preserve">0120404000050       </v>
      </c>
      <c r="F274" t="str">
        <f>CONCATENATE("7297011","")</f>
        <v>7297011</v>
      </c>
      <c r="G274" t="s">
        <v>533</v>
      </c>
      <c r="H274" t="s">
        <v>534</v>
      </c>
      <c r="I274" t="s">
        <v>535</v>
      </c>
      <c r="J274" t="str">
        <f t="shared" si="32"/>
        <v>081205</v>
      </c>
      <c r="K274" t="s">
        <v>22</v>
      </c>
      <c r="L274" t="s">
        <v>23</v>
      </c>
      <c r="M274" t="str">
        <f t="shared" si="29"/>
        <v>1</v>
      </c>
      <c r="O274" t="str">
        <f t="shared" si="33"/>
        <v xml:space="preserve">1 </v>
      </c>
      <c r="P274">
        <v>11.8</v>
      </c>
      <c r="Q274" t="s">
        <v>24</v>
      </c>
    </row>
    <row r="275" spans="1:17" x14ac:dyDescent="0.25">
      <c r="A275" t="s">
        <v>17</v>
      </c>
      <c r="B275" s="1">
        <v>41718</v>
      </c>
      <c r="C275" t="s">
        <v>486</v>
      </c>
      <c r="D275" t="str">
        <f>CONCATENATE("0060003217","")</f>
        <v>0060003217</v>
      </c>
      <c r="E275" t="str">
        <f>CONCATENATE("0120404000120       ","")</f>
        <v xml:space="preserve">0120404000120       </v>
      </c>
      <c r="F275" t="str">
        <f>CONCATENATE("7295916","")</f>
        <v>7295916</v>
      </c>
      <c r="G275" t="s">
        <v>533</v>
      </c>
      <c r="H275" t="s">
        <v>536</v>
      </c>
      <c r="I275" t="s">
        <v>535</v>
      </c>
      <c r="J275" t="str">
        <f t="shared" si="32"/>
        <v>081205</v>
      </c>
      <c r="K275" t="s">
        <v>22</v>
      </c>
      <c r="L275" t="s">
        <v>23</v>
      </c>
      <c r="M275" t="str">
        <f t="shared" si="29"/>
        <v>1</v>
      </c>
      <c r="O275" t="str">
        <f t="shared" si="33"/>
        <v xml:space="preserve">1 </v>
      </c>
      <c r="P275">
        <v>26.55</v>
      </c>
      <c r="Q275" t="s">
        <v>24</v>
      </c>
    </row>
    <row r="276" spans="1:17" x14ac:dyDescent="0.25">
      <c r="A276" t="s">
        <v>17</v>
      </c>
      <c r="B276" s="1">
        <v>41718</v>
      </c>
      <c r="C276" t="s">
        <v>486</v>
      </c>
      <c r="D276" t="str">
        <f>CONCATENATE("0060003218","")</f>
        <v>0060003218</v>
      </c>
      <c r="E276" t="str">
        <f>CONCATENATE("0120404000130       ","")</f>
        <v xml:space="preserve">0120404000130       </v>
      </c>
      <c r="F276" t="str">
        <f>CONCATENATE("7295913","")</f>
        <v>7295913</v>
      </c>
      <c r="G276" t="s">
        <v>533</v>
      </c>
      <c r="H276" t="s">
        <v>537</v>
      </c>
      <c r="I276" t="s">
        <v>535</v>
      </c>
      <c r="J276" t="str">
        <f t="shared" si="32"/>
        <v>081205</v>
      </c>
      <c r="K276" t="s">
        <v>22</v>
      </c>
      <c r="L276" t="s">
        <v>23</v>
      </c>
      <c r="M276" t="str">
        <f t="shared" si="29"/>
        <v>1</v>
      </c>
      <c r="O276" t="str">
        <f t="shared" si="33"/>
        <v xml:space="preserve">1 </v>
      </c>
      <c r="P276">
        <v>24.35</v>
      </c>
      <c r="Q276" t="s">
        <v>24</v>
      </c>
    </row>
    <row r="277" spans="1:17" x14ac:dyDescent="0.25">
      <c r="A277" t="s">
        <v>17</v>
      </c>
      <c r="B277" s="1">
        <v>41718</v>
      </c>
      <c r="C277" t="s">
        <v>486</v>
      </c>
      <c r="D277" t="str">
        <f>CONCATENATE("0060016626","")</f>
        <v>0060016626</v>
      </c>
      <c r="E277" t="str">
        <f>CONCATENATE("0120404000143       ","")</f>
        <v xml:space="preserve">0120404000143       </v>
      </c>
      <c r="F277" t="str">
        <f>CONCATENATE("1939584","")</f>
        <v>1939584</v>
      </c>
      <c r="G277" t="s">
        <v>533</v>
      </c>
      <c r="H277" t="s">
        <v>538</v>
      </c>
      <c r="I277" t="s">
        <v>539</v>
      </c>
      <c r="J277" t="str">
        <f t="shared" si="32"/>
        <v>081205</v>
      </c>
      <c r="K277" t="s">
        <v>22</v>
      </c>
      <c r="L277" t="s">
        <v>23</v>
      </c>
      <c r="M277" t="str">
        <f t="shared" si="29"/>
        <v>1</v>
      </c>
      <c r="O277" t="str">
        <f>CONCATENATE("2 ","")</f>
        <v xml:space="preserve">2 </v>
      </c>
      <c r="P277">
        <v>51.05</v>
      </c>
      <c r="Q277" t="s">
        <v>24</v>
      </c>
    </row>
    <row r="278" spans="1:17" x14ac:dyDescent="0.25">
      <c r="A278" t="s">
        <v>17</v>
      </c>
      <c r="B278" s="1">
        <v>41718</v>
      </c>
      <c r="C278" t="s">
        <v>486</v>
      </c>
      <c r="D278" t="str">
        <f>CONCATENATE("0060010633","")</f>
        <v>0060010633</v>
      </c>
      <c r="E278" t="str">
        <f>CONCATENATE("0120404000163       ","")</f>
        <v xml:space="preserve">0120404000163       </v>
      </c>
      <c r="F278" t="str">
        <f>CONCATENATE("606601898","")</f>
        <v>606601898</v>
      </c>
      <c r="G278" t="s">
        <v>533</v>
      </c>
      <c r="H278" t="s">
        <v>540</v>
      </c>
      <c r="I278" t="s">
        <v>541</v>
      </c>
      <c r="J278" t="str">
        <f t="shared" si="32"/>
        <v>081205</v>
      </c>
      <c r="K278" t="s">
        <v>22</v>
      </c>
      <c r="L278" t="s">
        <v>23</v>
      </c>
      <c r="M278" t="str">
        <f t="shared" si="29"/>
        <v>1</v>
      </c>
      <c r="O278" t="str">
        <f t="shared" ref="O278:O285" si="34">CONCATENATE("1 ","")</f>
        <v xml:space="preserve">1 </v>
      </c>
      <c r="P278">
        <v>49.9</v>
      </c>
      <c r="Q278" t="s">
        <v>24</v>
      </c>
    </row>
    <row r="279" spans="1:17" x14ac:dyDescent="0.25">
      <c r="A279" t="s">
        <v>17</v>
      </c>
      <c r="B279" s="1">
        <v>41718</v>
      </c>
      <c r="C279" t="s">
        <v>486</v>
      </c>
      <c r="D279" t="str">
        <f>CONCATENATE("0060011476","")</f>
        <v>0060011476</v>
      </c>
      <c r="E279" t="str">
        <f>CONCATENATE("0120404000505       ","")</f>
        <v xml:space="preserve">0120404000505       </v>
      </c>
      <c r="F279" t="str">
        <f>CONCATENATE("01116853","")</f>
        <v>01116853</v>
      </c>
      <c r="G279" t="s">
        <v>542</v>
      </c>
      <c r="H279" t="s">
        <v>543</v>
      </c>
      <c r="I279" t="s">
        <v>544</v>
      </c>
      <c r="J279" t="str">
        <f t="shared" si="32"/>
        <v>081205</v>
      </c>
      <c r="K279" t="s">
        <v>22</v>
      </c>
      <c r="L279" t="s">
        <v>23</v>
      </c>
      <c r="M279" t="str">
        <f t="shared" si="29"/>
        <v>1</v>
      </c>
      <c r="O279" t="str">
        <f t="shared" si="34"/>
        <v xml:space="preserve">1 </v>
      </c>
      <c r="P279">
        <v>35.700000000000003</v>
      </c>
      <c r="Q279" t="s">
        <v>24</v>
      </c>
    </row>
    <row r="280" spans="1:17" x14ac:dyDescent="0.25">
      <c r="A280" t="s">
        <v>17</v>
      </c>
      <c r="B280" s="1">
        <v>41718</v>
      </c>
      <c r="C280" t="s">
        <v>486</v>
      </c>
      <c r="D280" t="str">
        <f>CONCATENATE("0060013144","")</f>
        <v>0060013144</v>
      </c>
      <c r="E280" t="str">
        <f>CONCATENATE("0120404000520       ","")</f>
        <v xml:space="preserve">0120404000520       </v>
      </c>
      <c r="F280" t="str">
        <f>CONCATENATE("605750759","")</f>
        <v>605750759</v>
      </c>
      <c r="G280" t="s">
        <v>533</v>
      </c>
      <c r="H280" t="s">
        <v>545</v>
      </c>
      <c r="I280" t="s">
        <v>546</v>
      </c>
      <c r="J280" t="str">
        <f t="shared" si="32"/>
        <v>081205</v>
      </c>
      <c r="K280" t="s">
        <v>22</v>
      </c>
      <c r="L280" t="s">
        <v>23</v>
      </c>
      <c r="M280" t="str">
        <f t="shared" si="29"/>
        <v>1</v>
      </c>
      <c r="O280" t="str">
        <f t="shared" si="34"/>
        <v xml:space="preserve">1 </v>
      </c>
      <c r="P280">
        <v>25.6</v>
      </c>
      <c r="Q280" t="s">
        <v>24</v>
      </c>
    </row>
    <row r="281" spans="1:17" x14ac:dyDescent="0.25">
      <c r="A281" t="s">
        <v>17</v>
      </c>
      <c r="B281" s="1">
        <v>41718</v>
      </c>
      <c r="C281" t="s">
        <v>486</v>
      </c>
      <c r="D281" t="str">
        <f>CONCATENATE("0060013140","")</f>
        <v>0060013140</v>
      </c>
      <c r="E281" t="str">
        <f>CONCATENATE("0120404000560       ","")</f>
        <v xml:space="preserve">0120404000560       </v>
      </c>
      <c r="F281" t="str">
        <f>CONCATENATE("763624","")</f>
        <v>763624</v>
      </c>
      <c r="G281" t="s">
        <v>533</v>
      </c>
      <c r="H281" t="s">
        <v>547</v>
      </c>
      <c r="I281" t="s">
        <v>546</v>
      </c>
      <c r="J281" t="str">
        <f t="shared" si="32"/>
        <v>081205</v>
      </c>
      <c r="K281" t="s">
        <v>22</v>
      </c>
      <c r="L281" t="s">
        <v>23</v>
      </c>
      <c r="M281" t="str">
        <f t="shared" si="29"/>
        <v>1</v>
      </c>
      <c r="O281" t="str">
        <f t="shared" si="34"/>
        <v xml:space="preserve">1 </v>
      </c>
      <c r="P281">
        <v>177.6</v>
      </c>
      <c r="Q281" t="s">
        <v>24</v>
      </c>
    </row>
    <row r="282" spans="1:17" x14ac:dyDescent="0.25">
      <c r="A282" t="s">
        <v>17</v>
      </c>
      <c r="B282" s="1">
        <v>41718</v>
      </c>
      <c r="C282" t="s">
        <v>486</v>
      </c>
      <c r="D282" t="str">
        <f>CONCATENATE("0060013278","")</f>
        <v>0060013278</v>
      </c>
      <c r="E282" t="str">
        <f>CONCATENATE("0120404000610       ","")</f>
        <v xml:space="preserve">0120404000610       </v>
      </c>
      <c r="F282" t="str">
        <f>CONCATENATE("763621","")</f>
        <v>763621</v>
      </c>
      <c r="G282" t="s">
        <v>533</v>
      </c>
      <c r="H282" t="s">
        <v>548</v>
      </c>
      <c r="I282" t="s">
        <v>546</v>
      </c>
      <c r="J282" t="str">
        <f t="shared" si="32"/>
        <v>081205</v>
      </c>
      <c r="K282" t="s">
        <v>22</v>
      </c>
      <c r="L282" t="s">
        <v>23</v>
      </c>
      <c r="M282" t="str">
        <f t="shared" si="29"/>
        <v>1</v>
      </c>
      <c r="O282" t="str">
        <f t="shared" si="34"/>
        <v xml:space="preserve">1 </v>
      </c>
      <c r="P282">
        <v>59.65</v>
      </c>
      <c r="Q282" t="s">
        <v>24</v>
      </c>
    </row>
    <row r="283" spans="1:17" x14ac:dyDescent="0.25">
      <c r="A283" t="s">
        <v>17</v>
      </c>
      <c r="B283" s="1">
        <v>41718</v>
      </c>
      <c r="C283" t="s">
        <v>486</v>
      </c>
      <c r="D283" t="str">
        <f>CONCATENATE("0060008791","")</f>
        <v>0060008791</v>
      </c>
      <c r="E283" t="str">
        <f>CONCATENATE("0120405000030       ","")</f>
        <v xml:space="preserve">0120405000030       </v>
      </c>
      <c r="F283" t="str">
        <f>CONCATENATE("605879529","")</f>
        <v>605879529</v>
      </c>
      <c r="G283" t="s">
        <v>549</v>
      </c>
      <c r="H283" t="s">
        <v>550</v>
      </c>
      <c r="I283" t="s">
        <v>551</v>
      </c>
      <c r="J283" t="str">
        <f t="shared" si="32"/>
        <v>081205</v>
      </c>
      <c r="K283" t="s">
        <v>22</v>
      </c>
      <c r="L283" t="s">
        <v>23</v>
      </c>
      <c r="M283" t="str">
        <f t="shared" si="29"/>
        <v>1</v>
      </c>
      <c r="O283" t="str">
        <f t="shared" si="34"/>
        <v xml:space="preserve">1 </v>
      </c>
      <c r="P283">
        <v>25.35</v>
      </c>
      <c r="Q283" t="s">
        <v>24</v>
      </c>
    </row>
    <row r="284" spans="1:17" x14ac:dyDescent="0.25">
      <c r="A284" t="s">
        <v>17</v>
      </c>
      <c r="B284" s="1">
        <v>41718</v>
      </c>
      <c r="C284" t="s">
        <v>486</v>
      </c>
      <c r="D284" t="str">
        <f>CONCATENATE("0060008792","")</f>
        <v>0060008792</v>
      </c>
      <c r="E284" t="str">
        <f>CONCATENATE("0120405000040       ","")</f>
        <v xml:space="preserve">0120405000040       </v>
      </c>
      <c r="F284" t="str">
        <f>CONCATENATE("605879528","")</f>
        <v>605879528</v>
      </c>
      <c r="G284" t="s">
        <v>549</v>
      </c>
      <c r="H284" t="s">
        <v>552</v>
      </c>
      <c r="I284" t="s">
        <v>551</v>
      </c>
      <c r="J284" t="str">
        <f t="shared" ref="J284:J315" si="35">CONCATENATE("081205","")</f>
        <v>081205</v>
      </c>
      <c r="K284" t="s">
        <v>22</v>
      </c>
      <c r="L284" t="s">
        <v>23</v>
      </c>
      <c r="M284" t="str">
        <f t="shared" si="29"/>
        <v>1</v>
      </c>
      <c r="O284" t="str">
        <f t="shared" si="34"/>
        <v xml:space="preserve">1 </v>
      </c>
      <c r="P284">
        <v>11.2</v>
      </c>
      <c r="Q284" t="s">
        <v>24</v>
      </c>
    </row>
    <row r="285" spans="1:17" x14ac:dyDescent="0.25">
      <c r="A285" t="s">
        <v>17</v>
      </c>
      <c r="B285" s="1">
        <v>41718</v>
      </c>
      <c r="C285" t="s">
        <v>486</v>
      </c>
      <c r="D285" t="str">
        <f>CONCATENATE("0060017272","")</f>
        <v>0060017272</v>
      </c>
      <c r="E285" t="str">
        <f>CONCATENATE("0120405000088       ","")</f>
        <v xml:space="preserve">0120405000088       </v>
      </c>
      <c r="F285" t="str">
        <f>CONCATENATE("2120658","")</f>
        <v>2120658</v>
      </c>
      <c r="G285" t="s">
        <v>549</v>
      </c>
      <c r="H285" t="s">
        <v>553</v>
      </c>
      <c r="I285" t="s">
        <v>554</v>
      </c>
      <c r="J285" t="str">
        <f t="shared" si="35"/>
        <v>081205</v>
      </c>
      <c r="K285" t="s">
        <v>22</v>
      </c>
      <c r="L285" t="s">
        <v>23</v>
      </c>
      <c r="M285" t="str">
        <f t="shared" si="29"/>
        <v>1</v>
      </c>
      <c r="O285" t="str">
        <f t="shared" si="34"/>
        <v xml:space="preserve">1 </v>
      </c>
      <c r="P285">
        <v>10.45</v>
      </c>
      <c r="Q285" t="s">
        <v>24</v>
      </c>
    </row>
    <row r="286" spans="1:17" x14ac:dyDescent="0.25">
      <c r="A286" t="s">
        <v>17</v>
      </c>
      <c r="B286" s="1">
        <v>41718</v>
      </c>
      <c r="C286" t="s">
        <v>486</v>
      </c>
      <c r="D286" t="str">
        <f>CONCATENATE("0060008797","")</f>
        <v>0060008797</v>
      </c>
      <c r="E286" t="str">
        <f>CONCATENATE("0120405000090       ","")</f>
        <v xml:space="preserve">0120405000090       </v>
      </c>
      <c r="F286" t="str">
        <f>CONCATENATE("605938778","")</f>
        <v>605938778</v>
      </c>
      <c r="G286" t="s">
        <v>549</v>
      </c>
      <c r="H286" t="s">
        <v>555</v>
      </c>
      <c r="I286" t="s">
        <v>551</v>
      </c>
      <c r="J286" t="str">
        <f t="shared" si="35"/>
        <v>081205</v>
      </c>
      <c r="K286" t="s">
        <v>22</v>
      </c>
      <c r="L286" t="s">
        <v>23</v>
      </c>
      <c r="M286" t="str">
        <f t="shared" si="29"/>
        <v>1</v>
      </c>
      <c r="O286" t="str">
        <f>CONCATENATE("2 ","")</f>
        <v xml:space="preserve">2 </v>
      </c>
      <c r="P286">
        <v>49.65</v>
      </c>
      <c r="Q286" t="s">
        <v>24</v>
      </c>
    </row>
    <row r="287" spans="1:17" x14ac:dyDescent="0.25">
      <c r="A287" t="s">
        <v>17</v>
      </c>
      <c r="B287" s="1">
        <v>41718</v>
      </c>
      <c r="C287" t="s">
        <v>486</v>
      </c>
      <c r="D287" t="str">
        <f>CONCATENATE("0060011041","")</f>
        <v>0060011041</v>
      </c>
      <c r="E287" t="str">
        <f>CONCATENATE("0120405000115       ","")</f>
        <v xml:space="preserve">0120405000115       </v>
      </c>
      <c r="F287" t="str">
        <f>CONCATENATE("1136226","")</f>
        <v>1136226</v>
      </c>
      <c r="G287" t="s">
        <v>549</v>
      </c>
      <c r="H287" t="s">
        <v>556</v>
      </c>
      <c r="I287" t="s">
        <v>557</v>
      </c>
      <c r="J287" t="str">
        <f t="shared" si="35"/>
        <v>081205</v>
      </c>
      <c r="K287" t="s">
        <v>22</v>
      </c>
      <c r="L287" t="s">
        <v>23</v>
      </c>
      <c r="M287" t="str">
        <f t="shared" si="29"/>
        <v>1</v>
      </c>
      <c r="O287" t="str">
        <f>CONCATENATE("1 ","")</f>
        <v xml:space="preserve">1 </v>
      </c>
      <c r="P287">
        <v>23.75</v>
      </c>
      <c r="Q287" t="s">
        <v>24</v>
      </c>
    </row>
    <row r="288" spans="1:17" x14ac:dyDescent="0.25">
      <c r="A288" t="s">
        <v>17</v>
      </c>
      <c r="B288" s="1">
        <v>41718</v>
      </c>
      <c r="C288" t="s">
        <v>486</v>
      </c>
      <c r="D288" t="str">
        <f>CONCATENATE("0060008803","")</f>
        <v>0060008803</v>
      </c>
      <c r="E288" t="str">
        <f>CONCATENATE("0120405000150       ","")</f>
        <v xml:space="preserve">0120405000150       </v>
      </c>
      <c r="F288" t="str">
        <f>CONCATENATE("605879519","")</f>
        <v>605879519</v>
      </c>
      <c r="G288" t="s">
        <v>549</v>
      </c>
      <c r="H288" t="s">
        <v>558</v>
      </c>
      <c r="I288" t="s">
        <v>551</v>
      </c>
      <c r="J288" t="str">
        <f t="shared" si="35"/>
        <v>081205</v>
      </c>
      <c r="K288" t="s">
        <v>22</v>
      </c>
      <c r="L288" t="s">
        <v>23</v>
      </c>
      <c r="M288" t="str">
        <f t="shared" si="29"/>
        <v>1</v>
      </c>
      <c r="O288" t="str">
        <f>CONCATENATE("2 ","")</f>
        <v xml:space="preserve">2 </v>
      </c>
      <c r="P288">
        <v>84.05</v>
      </c>
      <c r="Q288" t="s">
        <v>24</v>
      </c>
    </row>
    <row r="289" spans="1:17" x14ac:dyDescent="0.25">
      <c r="A289" t="s">
        <v>17</v>
      </c>
      <c r="B289" s="1">
        <v>41718</v>
      </c>
      <c r="C289" t="s">
        <v>486</v>
      </c>
      <c r="D289" t="str">
        <f>CONCATENATE("0060015507","")</f>
        <v>0060015507</v>
      </c>
      <c r="E289" t="str">
        <f>CONCATENATE("0120405000172       ","")</f>
        <v xml:space="preserve">0120405000172       </v>
      </c>
      <c r="F289" t="str">
        <f>CONCATENATE("605933105","")</f>
        <v>605933105</v>
      </c>
      <c r="G289" t="s">
        <v>549</v>
      </c>
      <c r="H289" t="s">
        <v>559</v>
      </c>
      <c r="I289" t="s">
        <v>560</v>
      </c>
      <c r="J289" t="str">
        <f t="shared" si="35"/>
        <v>081205</v>
      </c>
      <c r="K289" t="s">
        <v>22</v>
      </c>
      <c r="L289" t="s">
        <v>23</v>
      </c>
      <c r="M289" t="str">
        <f t="shared" si="29"/>
        <v>1</v>
      </c>
      <c r="O289" t="str">
        <f>CONCATENATE("1 ","")</f>
        <v xml:space="preserve">1 </v>
      </c>
      <c r="P289">
        <v>28.75</v>
      </c>
      <c r="Q289" t="s">
        <v>24</v>
      </c>
    </row>
    <row r="290" spans="1:17" x14ac:dyDescent="0.25">
      <c r="A290" t="s">
        <v>17</v>
      </c>
      <c r="B290" s="1">
        <v>41718</v>
      </c>
      <c r="C290" t="s">
        <v>486</v>
      </c>
      <c r="D290" t="str">
        <f>CONCATENATE("0060013130","")</f>
        <v>0060013130</v>
      </c>
      <c r="E290" t="str">
        <f>CONCATENATE("0120405000520       ","")</f>
        <v xml:space="preserve">0120405000520       </v>
      </c>
      <c r="F290" t="str">
        <f>CONCATENATE("763601","")</f>
        <v>763601</v>
      </c>
      <c r="G290" t="s">
        <v>549</v>
      </c>
      <c r="H290" t="s">
        <v>561</v>
      </c>
      <c r="I290" t="s">
        <v>562</v>
      </c>
      <c r="J290" t="str">
        <f t="shared" si="35"/>
        <v>081205</v>
      </c>
      <c r="K290" t="s">
        <v>22</v>
      </c>
      <c r="L290" t="s">
        <v>23</v>
      </c>
      <c r="M290" t="str">
        <f t="shared" si="29"/>
        <v>1</v>
      </c>
      <c r="O290" t="str">
        <f>CONCATENATE("1 ","")</f>
        <v xml:space="preserve">1 </v>
      </c>
      <c r="P290">
        <v>88.4</v>
      </c>
      <c r="Q290" t="s">
        <v>24</v>
      </c>
    </row>
    <row r="291" spans="1:17" x14ac:dyDescent="0.25">
      <c r="A291" t="s">
        <v>17</v>
      </c>
      <c r="B291" s="1">
        <v>41718</v>
      </c>
      <c r="C291" t="s">
        <v>486</v>
      </c>
      <c r="D291" t="str">
        <f>CONCATENATE("0060013136","")</f>
        <v>0060013136</v>
      </c>
      <c r="E291" t="str">
        <f>CONCATENATE("0120405000531       ","")</f>
        <v xml:space="preserve">0120405000531       </v>
      </c>
      <c r="F291" t="str">
        <f>CONCATENATE("763606","")</f>
        <v>763606</v>
      </c>
      <c r="G291" t="s">
        <v>549</v>
      </c>
      <c r="H291" t="s">
        <v>563</v>
      </c>
      <c r="I291" t="s">
        <v>564</v>
      </c>
      <c r="J291" t="str">
        <f t="shared" si="35"/>
        <v>081205</v>
      </c>
      <c r="K291" t="s">
        <v>22</v>
      </c>
      <c r="L291" t="s">
        <v>23</v>
      </c>
      <c r="M291" t="str">
        <f t="shared" si="29"/>
        <v>1</v>
      </c>
      <c r="O291" t="str">
        <f>CONCATENATE("1 ","")</f>
        <v xml:space="preserve">1 </v>
      </c>
      <c r="P291">
        <v>54.45</v>
      </c>
      <c r="Q291" t="s">
        <v>24</v>
      </c>
    </row>
    <row r="292" spans="1:17" x14ac:dyDescent="0.25">
      <c r="A292" t="s">
        <v>17</v>
      </c>
      <c r="B292" s="1">
        <v>41718</v>
      </c>
      <c r="C292" t="s">
        <v>486</v>
      </c>
      <c r="D292" t="str">
        <f>CONCATENATE("0060013138","")</f>
        <v>0060013138</v>
      </c>
      <c r="E292" t="str">
        <f>CONCATENATE("0120405000550       ","")</f>
        <v xml:space="preserve">0120405000550       </v>
      </c>
      <c r="F292" t="str">
        <f>CONCATENATE("764095","")</f>
        <v>764095</v>
      </c>
      <c r="G292" t="s">
        <v>549</v>
      </c>
      <c r="H292" t="s">
        <v>565</v>
      </c>
      <c r="I292" t="s">
        <v>564</v>
      </c>
      <c r="J292" t="str">
        <f t="shared" si="35"/>
        <v>081205</v>
      </c>
      <c r="K292" t="s">
        <v>22</v>
      </c>
      <c r="L292" t="s">
        <v>23</v>
      </c>
      <c r="M292" t="str">
        <f t="shared" si="29"/>
        <v>1</v>
      </c>
      <c r="O292" t="str">
        <f>CONCATENATE("2 ","")</f>
        <v xml:space="preserve">2 </v>
      </c>
      <c r="P292">
        <v>18.350000000000001</v>
      </c>
      <c r="Q292" t="s">
        <v>24</v>
      </c>
    </row>
    <row r="293" spans="1:17" x14ac:dyDescent="0.25">
      <c r="A293" t="s">
        <v>17</v>
      </c>
      <c r="B293" s="1">
        <v>41718</v>
      </c>
      <c r="C293" t="s">
        <v>486</v>
      </c>
      <c r="D293" t="str">
        <f>CONCATENATE("0060013139","")</f>
        <v>0060013139</v>
      </c>
      <c r="E293" t="str">
        <f>CONCATENATE("0120405000560       ","")</f>
        <v xml:space="preserve">0120405000560       </v>
      </c>
      <c r="F293" t="str">
        <f>CONCATENATE("764090","")</f>
        <v>764090</v>
      </c>
      <c r="G293" t="s">
        <v>549</v>
      </c>
      <c r="H293" t="s">
        <v>566</v>
      </c>
      <c r="I293" t="s">
        <v>564</v>
      </c>
      <c r="J293" t="str">
        <f t="shared" si="35"/>
        <v>081205</v>
      </c>
      <c r="K293" t="s">
        <v>22</v>
      </c>
      <c r="L293" t="s">
        <v>23</v>
      </c>
      <c r="M293" t="str">
        <f t="shared" si="29"/>
        <v>1</v>
      </c>
      <c r="O293" t="str">
        <f>CONCATENATE("1 ","")</f>
        <v xml:space="preserve">1 </v>
      </c>
      <c r="P293">
        <v>76.55</v>
      </c>
      <c r="Q293" t="s">
        <v>24</v>
      </c>
    </row>
    <row r="294" spans="1:17" x14ac:dyDescent="0.25">
      <c r="A294" t="s">
        <v>17</v>
      </c>
      <c r="B294" s="1">
        <v>41718</v>
      </c>
      <c r="C294" t="s">
        <v>486</v>
      </c>
      <c r="D294" t="str">
        <f>CONCATENATE("0060013273","")</f>
        <v>0060013273</v>
      </c>
      <c r="E294" t="str">
        <f>CONCATENATE("0120405000635       ","")</f>
        <v xml:space="preserve">0120405000635       </v>
      </c>
      <c r="F294" t="str">
        <f>CONCATENATE("764089","")</f>
        <v>764089</v>
      </c>
      <c r="G294" t="s">
        <v>549</v>
      </c>
      <c r="H294" t="s">
        <v>567</v>
      </c>
      <c r="I294" t="s">
        <v>564</v>
      </c>
      <c r="J294" t="str">
        <f t="shared" si="35"/>
        <v>081205</v>
      </c>
      <c r="K294" t="s">
        <v>22</v>
      </c>
      <c r="L294" t="s">
        <v>23</v>
      </c>
      <c r="M294" t="str">
        <f t="shared" si="29"/>
        <v>1</v>
      </c>
      <c r="O294" t="str">
        <f>CONCATENATE("1 ","")</f>
        <v xml:space="preserve">1 </v>
      </c>
      <c r="P294">
        <v>17.95</v>
      </c>
      <c r="Q294" t="s">
        <v>24</v>
      </c>
    </row>
    <row r="295" spans="1:17" x14ac:dyDescent="0.25">
      <c r="A295" t="s">
        <v>17</v>
      </c>
      <c r="B295" s="1">
        <v>41718</v>
      </c>
      <c r="C295" t="s">
        <v>486</v>
      </c>
      <c r="D295" t="str">
        <f>CONCATENATE("0060013276","")</f>
        <v>0060013276</v>
      </c>
      <c r="E295" t="str">
        <f>CONCATENATE("0120405000665       ","")</f>
        <v xml:space="preserve">0120405000665       </v>
      </c>
      <c r="F295" t="str">
        <f>CONCATENATE("763608","")</f>
        <v>763608</v>
      </c>
      <c r="G295" t="s">
        <v>549</v>
      </c>
      <c r="H295" t="s">
        <v>568</v>
      </c>
      <c r="I295" t="s">
        <v>564</v>
      </c>
      <c r="J295" t="str">
        <f t="shared" si="35"/>
        <v>081205</v>
      </c>
      <c r="K295" t="s">
        <v>22</v>
      </c>
      <c r="L295" t="s">
        <v>23</v>
      </c>
      <c r="M295" t="str">
        <f t="shared" si="29"/>
        <v>1</v>
      </c>
      <c r="O295" t="str">
        <f>CONCATENATE("1 ","")</f>
        <v xml:space="preserve">1 </v>
      </c>
      <c r="P295">
        <v>17.850000000000001</v>
      </c>
      <c r="Q295" t="s">
        <v>24</v>
      </c>
    </row>
    <row r="296" spans="1:17" x14ac:dyDescent="0.25">
      <c r="A296" t="s">
        <v>17</v>
      </c>
      <c r="B296" s="1">
        <v>41718</v>
      </c>
      <c r="C296" t="s">
        <v>486</v>
      </c>
      <c r="D296" t="str">
        <f>CONCATENATE("0060009898","")</f>
        <v>0060009898</v>
      </c>
      <c r="E296" t="str">
        <f>CONCATENATE("0120406000040       ","")</f>
        <v xml:space="preserve">0120406000040       </v>
      </c>
      <c r="F296" t="str">
        <f>CONCATENATE("0A500310867","")</f>
        <v>0A500310867</v>
      </c>
      <c r="G296" t="s">
        <v>569</v>
      </c>
      <c r="H296" t="s">
        <v>570</v>
      </c>
      <c r="I296" t="s">
        <v>571</v>
      </c>
      <c r="J296" t="str">
        <f t="shared" si="35"/>
        <v>081205</v>
      </c>
      <c r="K296" t="s">
        <v>22</v>
      </c>
      <c r="L296" t="s">
        <v>23</v>
      </c>
      <c r="M296" t="str">
        <f t="shared" si="29"/>
        <v>1</v>
      </c>
      <c r="O296" t="str">
        <f>CONCATENATE("2 ","")</f>
        <v xml:space="preserve">2 </v>
      </c>
      <c r="P296">
        <v>17.100000000000001</v>
      </c>
      <c r="Q296" t="s">
        <v>24</v>
      </c>
    </row>
    <row r="297" spans="1:17" x14ac:dyDescent="0.25">
      <c r="A297" t="s">
        <v>17</v>
      </c>
      <c r="B297" s="1">
        <v>41718</v>
      </c>
      <c r="C297" t="s">
        <v>486</v>
      </c>
      <c r="D297" t="str">
        <f>CONCATENATE("0060009905","")</f>
        <v>0060009905</v>
      </c>
      <c r="E297" t="str">
        <f>CONCATENATE("0120406000200       ","")</f>
        <v xml:space="preserve">0120406000200       </v>
      </c>
      <c r="F297" t="str">
        <f>CONCATENATE("0A500310560","")</f>
        <v>0A500310560</v>
      </c>
      <c r="G297" t="s">
        <v>569</v>
      </c>
      <c r="H297" t="s">
        <v>572</v>
      </c>
      <c r="I297" t="s">
        <v>571</v>
      </c>
      <c r="J297" t="str">
        <f t="shared" si="35"/>
        <v>081205</v>
      </c>
      <c r="K297" t="s">
        <v>22</v>
      </c>
      <c r="L297" t="s">
        <v>23</v>
      </c>
      <c r="M297" t="str">
        <f t="shared" si="29"/>
        <v>1</v>
      </c>
      <c r="O297" t="str">
        <f>CONCATENATE("1 ","")</f>
        <v xml:space="preserve">1 </v>
      </c>
      <c r="P297">
        <v>63.7</v>
      </c>
      <c r="Q297" t="s">
        <v>24</v>
      </c>
    </row>
    <row r="298" spans="1:17" x14ac:dyDescent="0.25">
      <c r="A298" t="s">
        <v>17</v>
      </c>
      <c r="B298" s="1">
        <v>41718</v>
      </c>
      <c r="C298" t="s">
        <v>486</v>
      </c>
      <c r="D298" t="str">
        <f>CONCATENATE("0060009896","")</f>
        <v>0060009896</v>
      </c>
      <c r="E298" t="str">
        <f>CONCATENATE("0120406000230       ","")</f>
        <v xml:space="preserve">0120406000230       </v>
      </c>
      <c r="F298" t="str">
        <f>CONCATENATE("0A500310547","")</f>
        <v>0A500310547</v>
      </c>
      <c r="G298" t="s">
        <v>569</v>
      </c>
      <c r="H298" t="s">
        <v>573</v>
      </c>
      <c r="I298" t="s">
        <v>571</v>
      </c>
      <c r="J298" t="str">
        <f t="shared" si="35"/>
        <v>081205</v>
      </c>
      <c r="K298" t="s">
        <v>22</v>
      </c>
      <c r="L298" t="s">
        <v>23</v>
      </c>
      <c r="M298" t="str">
        <f t="shared" si="29"/>
        <v>1</v>
      </c>
      <c r="O298" t="str">
        <f>CONCATENATE("1 ","")</f>
        <v xml:space="preserve">1 </v>
      </c>
      <c r="P298">
        <v>11.35</v>
      </c>
      <c r="Q298" t="s">
        <v>24</v>
      </c>
    </row>
    <row r="299" spans="1:17" x14ac:dyDescent="0.25">
      <c r="A299" t="s">
        <v>17</v>
      </c>
      <c r="B299" s="1">
        <v>41718</v>
      </c>
      <c r="C299" t="s">
        <v>486</v>
      </c>
      <c r="D299" t="str">
        <f>CONCATENATE("0060009890","")</f>
        <v>0060009890</v>
      </c>
      <c r="E299" t="str">
        <f>CONCATENATE("0120406000430       ","")</f>
        <v xml:space="preserve">0120406000430       </v>
      </c>
      <c r="F299" t="str">
        <f>CONCATENATE("0A500310869","")</f>
        <v>0A500310869</v>
      </c>
      <c r="G299" t="s">
        <v>569</v>
      </c>
      <c r="H299" t="s">
        <v>574</v>
      </c>
      <c r="I299" t="s">
        <v>571</v>
      </c>
      <c r="J299" t="str">
        <f t="shared" si="35"/>
        <v>081205</v>
      </c>
      <c r="K299" t="s">
        <v>22</v>
      </c>
      <c r="L299" t="s">
        <v>23</v>
      </c>
      <c r="M299" t="str">
        <f t="shared" si="29"/>
        <v>1</v>
      </c>
      <c r="O299" t="str">
        <f>CONCATENATE("1 ","")</f>
        <v xml:space="preserve">1 </v>
      </c>
      <c r="P299">
        <v>16.899999999999999</v>
      </c>
      <c r="Q299" t="s">
        <v>24</v>
      </c>
    </row>
    <row r="300" spans="1:17" x14ac:dyDescent="0.25">
      <c r="A300" t="s">
        <v>17</v>
      </c>
      <c r="B300" s="1">
        <v>41718</v>
      </c>
      <c r="C300" t="s">
        <v>486</v>
      </c>
      <c r="D300" t="str">
        <f>CONCATENATE("0060011745","")</f>
        <v>0060011745</v>
      </c>
      <c r="E300" t="str">
        <f>CONCATENATE("0120407000040       ","")</f>
        <v xml:space="preserve">0120407000040       </v>
      </c>
      <c r="F300" t="str">
        <f>CONCATENATE("605748189","")</f>
        <v>605748189</v>
      </c>
      <c r="G300" t="s">
        <v>575</v>
      </c>
      <c r="H300" t="s">
        <v>576</v>
      </c>
      <c r="I300" t="s">
        <v>577</v>
      </c>
      <c r="J300" t="str">
        <f t="shared" si="35"/>
        <v>081205</v>
      </c>
      <c r="K300" t="s">
        <v>22</v>
      </c>
      <c r="L300" t="s">
        <v>23</v>
      </c>
      <c r="M300" t="str">
        <f t="shared" si="29"/>
        <v>1</v>
      </c>
      <c r="O300" t="str">
        <f>CONCATENATE("2 ","")</f>
        <v xml:space="preserve">2 </v>
      </c>
      <c r="P300">
        <v>32.950000000000003</v>
      </c>
      <c r="Q300" t="s">
        <v>24</v>
      </c>
    </row>
    <row r="301" spans="1:17" x14ac:dyDescent="0.25">
      <c r="A301" t="s">
        <v>17</v>
      </c>
      <c r="B301" s="1">
        <v>41718</v>
      </c>
      <c r="C301" t="s">
        <v>486</v>
      </c>
      <c r="D301" t="str">
        <f>CONCATENATE("0060010040","")</f>
        <v>0060010040</v>
      </c>
      <c r="E301" t="str">
        <f>CONCATENATE("0120407000490       ","")</f>
        <v xml:space="preserve">0120407000490       </v>
      </c>
      <c r="F301" t="str">
        <f>CONCATENATE("1812261","")</f>
        <v>1812261</v>
      </c>
      <c r="G301" t="s">
        <v>575</v>
      </c>
      <c r="H301" t="s">
        <v>578</v>
      </c>
      <c r="I301" t="s">
        <v>579</v>
      </c>
      <c r="J301" t="str">
        <f t="shared" si="35"/>
        <v>081205</v>
      </c>
      <c r="K301" t="s">
        <v>22</v>
      </c>
      <c r="L301" t="s">
        <v>23</v>
      </c>
      <c r="M301" t="str">
        <f t="shared" si="29"/>
        <v>1</v>
      </c>
      <c r="O301" t="str">
        <f>CONCATENATE("1 ","")</f>
        <v xml:space="preserve">1 </v>
      </c>
      <c r="P301">
        <v>14.1</v>
      </c>
      <c r="Q301" t="s">
        <v>24</v>
      </c>
    </row>
    <row r="302" spans="1:17" x14ac:dyDescent="0.25">
      <c r="A302" t="s">
        <v>17</v>
      </c>
      <c r="B302" s="1">
        <v>41718</v>
      </c>
      <c r="C302" t="s">
        <v>486</v>
      </c>
      <c r="D302" t="str">
        <f>CONCATENATE("0060010043","")</f>
        <v>0060010043</v>
      </c>
      <c r="E302" t="str">
        <f>CONCATENATE("0120407000600       ","")</f>
        <v xml:space="preserve">0120407000600       </v>
      </c>
      <c r="F302" t="str">
        <f>CONCATENATE("1812269","")</f>
        <v>1812269</v>
      </c>
      <c r="G302" t="s">
        <v>575</v>
      </c>
      <c r="H302" t="s">
        <v>580</v>
      </c>
      <c r="I302" t="s">
        <v>579</v>
      </c>
      <c r="J302" t="str">
        <f t="shared" si="35"/>
        <v>081205</v>
      </c>
      <c r="K302" t="s">
        <v>22</v>
      </c>
      <c r="L302" t="s">
        <v>23</v>
      </c>
      <c r="M302" t="str">
        <f t="shared" si="29"/>
        <v>1</v>
      </c>
      <c r="O302" t="str">
        <f>CONCATENATE("1 ","")</f>
        <v xml:space="preserve">1 </v>
      </c>
      <c r="P302">
        <v>10.5</v>
      </c>
      <c r="Q302" t="s">
        <v>24</v>
      </c>
    </row>
    <row r="303" spans="1:17" x14ac:dyDescent="0.25">
      <c r="A303" t="s">
        <v>17</v>
      </c>
      <c r="B303" s="1">
        <v>41718</v>
      </c>
      <c r="C303" t="s">
        <v>486</v>
      </c>
      <c r="D303" t="str">
        <f>CONCATENATE("0060010085","")</f>
        <v>0060010085</v>
      </c>
      <c r="E303" t="str">
        <f>CONCATENATE("0120407000650       ","")</f>
        <v xml:space="preserve">0120407000650       </v>
      </c>
      <c r="F303" t="str">
        <f>CONCATENATE("1807576","")</f>
        <v>1807576</v>
      </c>
      <c r="G303" t="s">
        <v>575</v>
      </c>
      <c r="H303" t="s">
        <v>581</v>
      </c>
      <c r="I303" t="s">
        <v>579</v>
      </c>
      <c r="J303" t="str">
        <f t="shared" si="35"/>
        <v>081205</v>
      </c>
      <c r="K303" t="s">
        <v>22</v>
      </c>
      <c r="L303" t="s">
        <v>23</v>
      </c>
      <c r="M303" t="str">
        <f t="shared" si="29"/>
        <v>1</v>
      </c>
      <c r="O303" t="str">
        <f>CONCATENATE("2 ","")</f>
        <v xml:space="preserve">2 </v>
      </c>
      <c r="P303">
        <v>79.150000000000006</v>
      </c>
      <c r="Q303" t="s">
        <v>24</v>
      </c>
    </row>
    <row r="304" spans="1:17" x14ac:dyDescent="0.25">
      <c r="A304" t="s">
        <v>17</v>
      </c>
      <c r="B304" s="1">
        <v>41718</v>
      </c>
      <c r="C304" t="s">
        <v>486</v>
      </c>
      <c r="D304" t="str">
        <f>CONCATENATE("0060010045","")</f>
        <v>0060010045</v>
      </c>
      <c r="E304" t="str">
        <f>CONCATENATE("0120407000720       ","")</f>
        <v xml:space="preserve">0120407000720       </v>
      </c>
      <c r="F304" t="str">
        <f>CONCATENATE("1812268","")</f>
        <v>1812268</v>
      </c>
      <c r="G304" t="s">
        <v>575</v>
      </c>
      <c r="H304" t="s">
        <v>582</v>
      </c>
      <c r="I304" t="s">
        <v>579</v>
      </c>
      <c r="J304" t="str">
        <f t="shared" si="35"/>
        <v>081205</v>
      </c>
      <c r="K304" t="s">
        <v>22</v>
      </c>
      <c r="L304" t="s">
        <v>23</v>
      </c>
      <c r="M304" t="str">
        <f t="shared" si="29"/>
        <v>1</v>
      </c>
      <c r="O304" t="str">
        <f t="shared" ref="O304:O322" si="36">CONCATENATE("1 ","")</f>
        <v xml:space="preserve">1 </v>
      </c>
      <c r="P304">
        <v>11.9</v>
      </c>
      <c r="Q304" t="s">
        <v>24</v>
      </c>
    </row>
    <row r="305" spans="1:17" x14ac:dyDescent="0.25">
      <c r="A305" t="s">
        <v>17</v>
      </c>
      <c r="B305" s="1">
        <v>41718</v>
      </c>
      <c r="C305" t="s">
        <v>486</v>
      </c>
      <c r="D305" t="str">
        <f>CONCATENATE("0060018971","")</f>
        <v>0060018971</v>
      </c>
      <c r="E305" t="str">
        <f>CONCATENATE("0120408000043       ","")</f>
        <v xml:space="preserve">0120408000043       </v>
      </c>
      <c r="F305" t="str">
        <f>CONCATENATE("606591144","")</f>
        <v>606591144</v>
      </c>
      <c r="G305" t="s">
        <v>583</v>
      </c>
      <c r="H305" t="s">
        <v>584</v>
      </c>
      <c r="I305" t="s">
        <v>585</v>
      </c>
      <c r="J305" t="str">
        <f t="shared" si="35"/>
        <v>081205</v>
      </c>
      <c r="K305" t="s">
        <v>22</v>
      </c>
      <c r="L305" t="s">
        <v>23</v>
      </c>
      <c r="M305" t="str">
        <f t="shared" si="29"/>
        <v>1</v>
      </c>
      <c r="O305" t="str">
        <f t="shared" si="36"/>
        <v xml:space="preserve">1 </v>
      </c>
      <c r="P305">
        <v>10.95</v>
      </c>
      <c r="Q305" t="s">
        <v>24</v>
      </c>
    </row>
    <row r="306" spans="1:17" x14ac:dyDescent="0.25">
      <c r="A306" t="s">
        <v>17</v>
      </c>
      <c r="B306" s="1">
        <v>41718</v>
      </c>
      <c r="C306" t="s">
        <v>486</v>
      </c>
      <c r="D306" t="str">
        <f>CONCATENATE("0060010390","")</f>
        <v>0060010390</v>
      </c>
      <c r="E306" t="str">
        <f>CONCATENATE("0120408000170       ","")</f>
        <v xml:space="preserve">0120408000170       </v>
      </c>
      <c r="F306" t="str">
        <f>CONCATENATE("606590582","")</f>
        <v>606590582</v>
      </c>
      <c r="G306" t="s">
        <v>583</v>
      </c>
      <c r="H306" t="s">
        <v>586</v>
      </c>
      <c r="I306" t="s">
        <v>587</v>
      </c>
      <c r="J306" t="str">
        <f t="shared" si="35"/>
        <v>081205</v>
      </c>
      <c r="K306" t="s">
        <v>22</v>
      </c>
      <c r="L306" t="s">
        <v>23</v>
      </c>
      <c r="M306" t="str">
        <f t="shared" ref="M306:M369" si="37">CONCATENATE("1","")</f>
        <v>1</v>
      </c>
      <c r="O306" t="str">
        <f t="shared" si="36"/>
        <v xml:space="preserve">1 </v>
      </c>
      <c r="P306">
        <v>13.1</v>
      </c>
      <c r="Q306" t="s">
        <v>24</v>
      </c>
    </row>
    <row r="307" spans="1:17" x14ac:dyDescent="0.25">
      <c r="A307" t="s">
        <v>17</v>
      </c>
      <c r="B307" s="1">
        <v>41718</v>
      </c>
      <c r="C307" t="s">
        <v>486</v>
      </c>
      <c r="D307" t="str">
        <f>CONCATENATE("0060012428","")</f>
        <v>0060012428</v>
      </c>
      <c r="E307" t="str">
        <f>CONCATENATE("0120409000200       ","")</f>
        <v xml:space="preserve">0120409000200       </v>
      </c>
      <c r="F307" t="str">
        <f>CONCATENATE("605291878","")</f>
        <v>605291878</v>
      </c>
      <c r="G307" t="s">
        <v>588</v>
      </c>
      <c r="H307" t="s">
        <v>589</v>
      </c>
      <c r="I307" t="s">
        <v>590</v>
      </c>
      <c r="J307" t="str">
        <f t="shared" si="35"/>
        <v>081205</v>
      </c>
      <c r="K307" t="s">
        <v>22</v>
      </c>
      <c r="L307" t="s">
        <v>23</v>
      </c>
      <c r="M307" t="str">
        <f t="shared" si="37"/>
        <v>1</v>
      </c>
      <c r="O307" t="str">
        <f t="shared" si="36"/>
        <v xml:space="preserve">1 </v>
      </c>
      <c r="P307">
        <v>14.9</v>
      </c>
      <c r="Q307" t="s">
        <v>24</v>
      </c>
    </row>
    <row r="308" spans="1:17" x14ac:dyDescent="0.25">
      <c r="A308" t="s">
        <v>17</v>
      </c>
      <c r="B308" s="1">
        <v>41718</v>
      </c>
      <c r="C308" t="s">
        <v>486</v>
      </c>
      <c r="D308" t="str">
        <f>CONCATENATE("0060012429","")</f>
        <v>0060012429</v>
      </c>
      <c r="E308" t="str">
        <f>CONCATENATE("0120409000220       ","")</f>
        <v xml:space="preserve">0120409000220       </v>
      </c>
      <c r="F308" t="str">
        <f>CONCATENATE("605291876","")</f>
        <v>605291876</v>
      </c>
      <c r="G308" t="s">
        <v>591</v>
      </c>
      <c r="H308" t="s">
        <v>592</v>
      </c>
      <c r="I308" t="s">
        <v>590</v>
      </c>
      <c r="J308" t="str">
        <f t="shared" si="35"/>
        <v>081205</v>
      </c>
      <c r="K308" t="s">
        <v>22</v>
      </c>
      <c r="L308" t="s">
        <v>23</v>
      </c>
      <c r="M308" t="str">
        <f t="shared" si="37"/>
        <v>1</v>
      </c>
      <c r="O308" t="str">
        <f t="shared" si="36"/>
        <v xml:space="preserve">1 </v>
      </c>
      <c r="P308">
        <v>10.5</v>
      </c>
      <c r="Q308" t="s">
        <v>24</v>
      </c>
    </row>
    <row r="309" spans="1:17" x14ac:dyDescent="0.25">
      <c r="A309" t="s">
        <v>17</v>
      </c>
      <c r="B309" s="1">
        <v>41718</v>
      </c>
      <c r="C309" t="s">
        <v>486</v>
      </c>
      <c r="D309" t="str">
        <f>CONCATENATE("0060010490","")</f>
        <v>0060010490</v>
      </c>
      <c r="E309" t="str">
        <f>CONCATENATE("0120410000400       ","")</f>
        <v xml:space="preserve">0120410000400       </v>
      </c>
      <c r="F309" t="str">
        <f>CONCATENATE("606589998","")</f>
        <v>606589998</v>
      </c>
      <c r="G309" t="s">
        <v>593</v>
      </c>
      <c r="H309" t="s">
        <v>594</v>
      </c>
      <c r="I309" t="s">
        <v>595</v>
      </c>
      <c r="J309" t="str">
        <f t="shared" si="35"/>
        <v>081205</v>
      </c>
      <c r="K309" t="s">
        <v>22</v>
      </c>
      <c r="L309" t="s">
        <v>23</v>
      </c>
      <c r="M309" t="str">
        <f t="shared" si="37"/>
        <v>1</v>
      </c>
      <c r="O309" t="str">
        <f t="shared" si="36"/>
        <v xml:space="preserve">1 </v>
      </c>
      <c r="P309">
        <v>11.2</v>
      </c>
      <c r="Q309" t="s">
        <v>24</v>
      </c>
    </row>
    <row r="310" spans="1:17" x14ac:dyDescent="0.25">
      <c r="A310" t="s">
        <v>17</v>
      </c>
      <c r="B310" s="1">
        <v>41718</v>
      </c>
      <c r="C310" t="s">
        <v>486</v>
      </c>
      <c r="D310" t="str">
        <f>CONCATENATE("0060012889","")</f>
        <v>0060012889</v>
      </c>
      <c r="E310" t="str">
        <f>CONCATENATE("0120411000080       ","")</f>
        <v xml:space="preserve">0120411000080       </v>
      </c>
      <c r="F310" t="str">
        <f>CONCATENATE("605283465","")</f>
        <v>605283465</v>
      </c>
      <c r="G310" t="s">
        <v>596</v>
      </c>
      <c r="H310" t="s">
        <v>597</v>
      </c>
      <c r="I310" t="s">
        <v>598</v>
      </c>
      <c r="J310" t="str">
        <f t="shared" si="35"/>
        <v>081205</v>
      </c>
      <c r="K310" t="s">
        <v>22</v>
      </c>
      <c r="L310" t="s">
        <v>23</v>
      </c>
      <c r="M310" t="str">
        <f t="shared" si="37"/>
        <v>1</v>
      </c>
      <c r="O310" t="str">
        <f t="shared" si="36"/>
        <v xml:space="preserve">1 </v>
      </c>
      <c r="P310">
        <v>16.45</v>
      </c>
      <c r="Q310" t="s">
        <v>24</v>
      </c>
    </row>
    <row r="311" spans="1:17" x14ac:dyDescent="0.25">
      <c r="A311" t="s">
        <v>17</v>
      </c>
      <c r="B311" s="1">
        <v>41718</v>
      </c>
      <c r="C311" t="s">
        <v>486</v>
      </c>
      <c r="D311" t="str">
        <f>CONCATENATE("0060013021","")</f>
        <v>0060013021</v>
      </c>
      <c r="E311" t="str">
        <f>CONCATENATE("0120411000320       ","")</f>
        <v xml:space="preserve">0120411000320       </v>
      </c>
      <c r="F311" t="str">
        <f>CONCATENATE("0605291707","")</f>
        <v>0605291707</v>
      </c>
      <c r="G311" t="s">
        <v>596</v>
      </c>
      <c r="H311" t="s">
        <v>599</v>
      </c>
      <c r="I311" t="s">
        <v>598</v>
      </c>
      <c r="J311" t="str">
        <f t="shared" si="35"/>
        <v>081205</v>
      </c>
      <c r="K311" t="s">
        <v>22</v>
      </c>
      <c r="L311" t="s">
        <v>23</v>
      </c>
      <c r="M311" t="str">
        <f t="shared" si="37"/>
        <v>1</v>
      </c>
      <c r="O311" t="str">
        <f t="shared" si="36"/>
        <v xml:space="preserve">1 </v>
      </c>
      <c r="P311">
        <v>18.3</v>
      </c>
      <c r="Q311" t="s">
        <v>24</v>
      </c>
    </row>
    <row r="312" spans="1:17" x14ac:dyDescent="0.25">
      <c r="A312" t="s">
        <v>17</v>
      </c>
      <c r="B312" s="1">
        <v>41718</v>
      </c>
      <c r="C312" t="s">
        <v>486</v>
      </c>
      <c r="D312" t="str">
        <f>CONCATENATE("0060013028","")</f>
        <v>0060013028</v>
      </c>
      <c r="E312" t="str">
        <f>CONCATENATE("0120411000410       ","")</f>
        <v xml:space="preserve">0120411000410       </v>
      </c>
      <c r="F312" t="str">
        <f>CONCATENATE("0605291689","")</f>
        <v>0605291689</v>
      </c>
      <c r="G312" t="s">
        <v>596</v>
      </c>
      <c r="H312" t="s">
        <v>600</v>
      </c>
      <c r="I312" t="s">
        <v>598</v>
      </c>
      <c r="J312" t="str">
        <f t="shared" si="35"/>
        <v>081205</v>
      </c>
      <c r="K312" t="s">
        <v>22</v>
      </c>
      <c r="L312" t="s">
        <v>23</v>
      </c>
      <c r="M312" t="str">
        <f t="shared" si="37"/>
        <v>1</v>
      </c>
      <c r="O312" t="str">
        <f t="shared" si="36"/>
        <v xml:space="preserve">1 </v>
      </c>
      <c r="P312">
        <v>10.5</v>
      </c>
      <c r="Q312" t="s">
        <v>24</v>
      </c>
    </row>
    <row r="313" spans="1:17" x14ac:dyDescent="0.25">
      <c r="A313" t="s">
        <v>17</v>
      </c>
      <c r="B313" s="1">
        <v>41718</v>
      </c>
      <c r="C313" t="s">
        <v>486</v>
      </c>
      <c r="D313" t="str">
        <f>CONCATENATE("0060012936","")</f>
        <v>0060012936</v>
      </c>
      <c r="E313" t="str">
        <f>CONCATENATE("0120411000570       ","")</f>
        <v xml:space="preserve">0120411000570       </v>
      </c>
      <c r="F313" t="str">
        <f>CONCATENATE("605283487","")</f>
        <v>605283487</v>
      </c>
      <c r="G313" t="s">
        <v>601</v>
      </c>
      <c r="H313" t="s">
        <v>602</v>
      </c>
      <c r="I313" t="s">
        <v>598</v>
      </c>
      <c r="J313" t="str">
        <f t="shared" si="35"/>
        <v>081205</v>
      </c>
      <c r="K313" t="s">
        <v>22</v>
      </c>
      <c r="L313" t="s">
        <v>23</v>
      </c>
      <c r="M313" t="str">
        <f t="shared" si="37"/>
        <v>1</v>
      </c>
      <c r="O313" t="str">
        <f t="shared" si="36"/>
        <v xml:space="preserve">1 </v>
      </c>
      <c r="P313">
        <v>11.95</v>
      </c>
      <c r="Q313" t="s">
        <v>24</v>
      </c>
    </row>
    <row r="314" spans="1:17" x14ac:dyDescent="0.25">
      <c r="A314" t="s">
        <v>17</v>
      </c>
      <c r="B314" s="1">
        <v>41718</v>
      </c>
      <c r="C314" t="s">
        <v>486</v>
      </c>
      <c r="D314" t="str">
        <f>CONCATENATE("0060012925","")</f>
        <v>0060012925</v>
      </c>
      <c r="E314" t="str">
        <f>CONCATENATE("0120411000590       ","")</f>
        <v xml:space="preserve">0120411000590       </v>
      </c>
      <c r="F314" t="str">
        <f>CONCATENATE("605275165","")</f>
        <v>605275165</v>
      </c>
      <c r="G314" t="s">
        <v>601</v>
      </c>
      <c r="H314" t="s">
        <v>603</v>
      </c>
      <c r="I314" t="s">
        <v>598</v>
      </c>
      <c r="J314" t="str">
        <f t="shared" si="35"/>
        <v>081205</v>
      </c>
      <c r="K314" t="s">
        <v>22</v>
      </c>
      <c r="L314" t="s">
        <v>23</v>
      </c>
      <c r="M314" t="str">
        <f t="shared" si="37"/>
        <v>1</v>
      </c>
      <c r="O314" t="str">
        <f t="shared" si="36"/>
        <v xml:space="preserve">1 </v>
      </c>
      <c r="P314">
        <v>13.45</v>
      </c>
      <c r="Q314" t="s">
        <v>24</v>
      </c>
    </row>
    <row r="315" spans="1:17" x14ac:dyDescent="0.25">
      <c r="A315" t="s">
        <v>17</v>
      </c>
      <c r="B315" s="1">
        <v>41718</v>
      </c>
      <c r="C315" t="s">
        <v>486</v>
      </c>
      <c r="D315" t="str">
        <f>CONCATENATE("0060013058","")</f>
        <v>0060013058</v>
      </c>
      <c r="E315" t="str">
        <f>CONCATENATE("0120411001030       ","")</f>
        <v xml:space="preserve">0120411001030       </v>
      </c>
      <c r="F315" t="str">
        <f>CONCATENATE("0605291681","")</f>
        <v>0605291681</v>
      </c>
      <c r="G315" t="s">
        <v>596</v>
      </c>
      <c r="H315" t="s">
        <v>604</v>
      </c>
      <c r="I315" t="s">
        <v>605</v>
      </c>
      <c r="J315" t="str">
        <f t="shared" si="35"/>
        <v>081205</v>
      </c>
      <c r="K315" t="s">
        <v>22</v>
      </c>
      <c r="L315" t="s">
        <v>23</v>
      </c>
      <c r="M315" t="str">
        <f t="shared" si="37"/>
        <v>1</v>
      </c>
      <c r="O315" t="str">
        <f t="shared" si="36"/>
        <v xml:space="preserve">1 </v>
      </c>
      <c r="P315">
        <v>13.45</v>
      </c>
      <c r="Q315" t="s">
        <v>24</v>
      </c>
    </row>
    <row r="316" spans="1:17" x14ac:dyDescent="0.25">
      <c r="A316" t="s">
        <v>17</v>
      </c>
      <c r="B316" s="1">
        <v>41718</v>
      </c>
      <c r="C316" t="s">
        <v>486</v>
      </c>
      <c r="D316" t="str">
        <f>CONCATENATE("0060012479","")</f>
        <v>0060012479</v>
      </c>
      <c r="E316" t="str">
        <f>CONCATENATE("0120412000118       ","")</f>
        <v xml:space="preserve">0120412000118       </v>
      </c>
      <c r="F316" t="str">
        <f>CONCATENATE("605291870","")</f>
        <v>605291870</v>
      </c>
      <c r="G316" t="s">
        <v>606</v>
      </c>
      <c r="H316" t="s">
        <v>607</v>
      </c>
      <c r="I316" t="s">
        <v>608</v>
      </c>
      <c r="J316" t="str">
        <f t="shared" ref="J316:J347" si="38">CONCATENATE("081205","")</f>
        <v>081205</v>
      </c>
      <c r="K316" t="s">
        <v>22</v>
      </c>
      <c r="L316" t="s">
        <v>23</v>
      </c>
      <c r="M316" t="str">
        <f t="shared" si="37"/>
        <v>1</v>
      </c>
      <c r="O316" t="str">
        <f t="shared" si="36"/>
        <v xml:space="preserve">1 </v>
      </c>
      <c r="P316">
        <v>13.85</v>
      </c>
      <c r="Q316" t="s">
        <v>24</v>
      </c>
    </row>
    <row r="317" spans="1:17" x14ac:dyDescent="0.25">
      <c r="A317" t="s">
        <v>17</v>
      </c>
      <c r="B317" s="1">
        <v>41718</v>
      </c>
      <c r="C317" t="s">
        <v>486</v>
      </c>
      <c r="D317" t="str">
        <f>CONCATENATE("0060012408","")</f>
        <v>0060012408</v>
      </c>
      <c r="E317" t="str">
        <f>CONCATENATE("0120412000120       ","")</f>
        <v xml:space="preserve">0120412000120       </v>
      </c>
      <c r="F317" t="str">
        <f>CONCATENATE("605291875","")</f>
        <v>605291875</v>
      </c>
      <c r="G317" t="s">
        <v>606</v>
      </c>
      <c r="H317" t="s">
        <v>609</v>
      </c>
      <c r="I317" t="s">
        <v>610</v>
      </c>
      <c r="J317" t="str">
        <f t="shared" si="38"/>
        <v>081205</v>
      </c>
      <c r="K317" t="s">
        <v>22</v>
      </c>
      <c r="L317" t="s">
        <v>23</v>
      </c>
      <c r="M317" t="str">
        <f t="shared" si="37"/>
        <v>1</v>
      </c>
      <c r="O317" t="str">
        <f t="shared" si="36"/>
        <v xml:space="preserve">1 </v>
      </c>
      <c r="P317">
        <v>13</v>
      </c>
      <c r="Q317" t="s">
        <v>24</v>
      </c>
    </row>
    <row r="318" spans="1:17" x14ac:dyDescent="0.25">
      <c r="A318" t="s">
        <v>17</v>
      </c>
      <c r="B318" s="1">
        <v>41718</v>
      </c>
      <c r="C318" t="s">
        <v>486</v>
      </c>
      <c r="D318" t="str">
        <f>CONCATENATE("0060012420","")</f>
        <v>0060012420</v>
      </c>
      <c r="E318" t="str">
        <f>CONCATENATE("0120412000140       ","")</f>
        <v xml:space="preserve">0120412000140       </v>
      </c>
      <c r="F318" t="str">
        <f>CONCATENATE("605291885","")</f>
        <v>605291885</v>
      </c>
      <c r="G318" t="s">
        <v>606</v>
      </c>
      <c r="H318" t="s">
        <v>611</v>
      </c>
      <c r="I318" t="s">
        <v>612</v>
      </c>
      <c r="J318" t="str">
        <f t="shared" si="38"/>
        <v>081205</v>
      </c>
      <c r="K318" t="s">
        <v>22</v>
      </c>
      <c r="L318" t="s">
        <v>23</v>
      </c>
      <c r="M318" t="str">
        <f t="shared" si="37"/>
        <v>1</v>
      </c>
      <c r="O318" t="str">
        <f t="shared" si="36"/>
        <v xml:space="preserve">1 </v>
      </c>
      <c r="P318">
        <v>20.55</v>
      </c>
      <c r="Q318" t="s">
        <v>24</v>
      </c>
    </row>
    <row r="319" spans="1:17" x14ac:dyDescent="0.25">
      <c r="A319" t="s">
        <v>17</v>
      </c>
      <c r="B319" s="1">
        <v>41718</v>
      </c>
      <c r="C319" t="s">
        <v>486</v>
      </c>
      <c r="D319" t="str">
        <f>CONCATENATE("0060012714","")</f>
        <v>0060012714</v>
      </c>
      <c r="E319" t="str">
        <f>CONCATENATE("0120413000030       ","")</f>
        <v xml:space="preserve">0120413000030       </v>
      </c>
      <c r="F319" t="str">
        <f>CONCATENATE("605085008","")</f>
        <v>605085008</v>
      </c>
      <c r="G319" t="s">
        <v>613</v>
      </c>
      <c r="H319" t="s">
        <v>614</v>
      </c>
      <c r="I319" t="s">
        <v>615</v>
      </c>
      <c r="J319" t="str">
        <f t="shared" si="38"/>
        <v>081205</v>
      </c>
      <c r="K319" t="s">
        <v>22</v>
      </c>
      <c r="L319" t="s">
        <v>23</v>
      </c>
      <c r="M319" t="str">
        <f t="shared" si="37"/>
        <v>1</v>
      </c>
      <c r="O319" t="str">
        <f t="shared" si="36"/>
        <v xml:space="preserve">1 </v>
      </c>
      <c r="P319">
        <v>21.6</v>
      </c>
      <c r="Q319" t="s">
        <v>24</v>
      </c>
    </row>
    <row r="320" spans="1:17" x14ac:dyDescent="0.25">
      <c r="A320" t="s">
        <v>17</v>
      </c>
      <c r="B320" s="1">
        <v>41718</v>
      </c>
      <c r="C320" t="s">
        <v>486</v>
      </c>
      <c r="D320" t="str">
        <f>CONCATENATE("0060012799","")</f>
        <v>0060012799</v>
      </c>
      <c r="E320" t="str">
        <f>CONCATENATE("0120414000040       ","")</f>
        <v xml:space="preserve">0120414000040       </v>
      </c>
      <c r="F320" t="str">
        <f>CONCATENATE("605285991","")</f>
        <v>605285991</v>
      </c>
      <c r="G320" t="s">
        <v>616</v>
      </c>
      <c r="H320" t="s">
        <v>617</v>
      </c>
      <c r="I320" t="s">
        <v>618</v>
      </c>
      <c r="J320" t="str">
        <f t="shared" si="38"/>
        <v>081205</v>
      </c>
      <c r="K320" t="s">
        <v>22</v>
      </c>
      <c r="L320" t="s">
        <v>23</v>
      </c>
      <c r="M320" t="str">
        <f t="shared" si="37"/>
        <v>1</v>
      </c>
      <c r="O320" t="str">
        <f t="shared" si="36"/>
        <v xml:space="preserve">1 </v>
      </c>
      <c r="P320">
        <v>12.35</v>
      </c>
      <c r="Q320" t="s">
        <v>24</v>
      </c>
    </row>
    <row r="321" spans="1:17" x14ac:dyDescent="0.25">
      <c r="A321" t="s">
        <v>17</v>
      </c>
      <c r="B321" s="1">
        <v>41718</v>
      </c>
      <c r="C321" t="s">
        <v>486</v>
      </c>
      <c r="D321" t="str">
        <f>CONCATENATE("0060012801","")</f>
        <v>0060012801</v>
      </c>
      <c r="E321" t="str">
        <f>CONCATENATE("0120414000060       ","")</f>
        <v xml:space="preserve">0120414000060       </v>
      </c>
      <c r="F321" t="str">
        <f>CONCATENATE("605291547","")</f>
        <v>605291547</v>
      </c>
      <c r="G321" t="s">
        <v>616</v>
      </c>
      <c r="H321" t="s">
        <v>619</v>
      </c>
      <c r="I321" t="s">
        <v>618</v>
      </c>
      <c r="J321" t="str">
        <f t="shared" si="38"/>
        <v>081205</v>
      </c>
      <c r="K321" t="s">
        <v>22</v>
      </c>
      <c r="L321" t="s">
        <v>23</v>
      </c>
      <c r="M321" t="str">
        <f t="shared" si="37"/>
        <v>1</v>
      </c>
      <c r="O321" t="str">
        <f t="shared" si="36"/>
        <v xml:space="preserve">1 </v>
      </c>
      <c r="P321">
        <v>19.3</v>
      </c>
      <c r="Q321" t="s">
        <v>24</v>
      </c>
    </row>
    <row r="322" spans="1:17" x14ac:dyDescent="0.25">
      <c r="A322" t="s">
        <v>17</v>
      </c>
      <c r="B322" s="1">
        <v>41718</v>
      </c>
      <c r="C322" t="s">
        <v>486</v>
      </c>
      <c r="D322" t="str">
        <f>CONCATENATE("0060012797","")</f>
        <v>0060012797</v>
      </c>
      <c r="E322" t="str">
        <f>CONCATENATE("0120414000110       ","")</f>
        <v xml:space="preserve">0120414000110       </v>
      </c>
      <c r="F322" t="str">
        <f>CONCATENATE("605291534","")</f>
        <v>605291534</v>
      </c>
      <c r="G322" t="s">
        <v>616</v>
      </c>
      <c r="H322" t="s">
        <v>620</v>
      </c>
      <c r="I322" t="s">
        <v>618</v>
      </c>
      <c r="J322" t="str">
        <f t="shared" si="38"/>
        <v>081205</v>
      </c>
      <c r="K322" t="s">
        <v>22</v>
      </c>
      <c r="L322" t="s">
        <v>23</v>
      </c>
      <c r="M322" t="str">
        <f t="shared" si="37"/>
        <v>1</v>
      </c>
      <c r="O322" t="str">
        <f t="shared" si="36"/>
        <v xml:space="preserve">1 </v>
      </c>
      <c r="P322">
        <v>17.5</v>
      </c>
      <c r="Q322" t="s">
        <v>24</v>
      </c>
    </row>
    <row r="323" spans="1:17" x14ac:dyDescent="0.25">
      <c r="A323" t="s">
        <v>17</v>
      </c>
      <c r="B323" s="1">
        <v>41718</v>
      </c>
      <c r="C323" t="s">
        <v>486</v>
      </c>
      <c r="D323" t="str">
        <f>CONCATENATE("0060012837","")</f>
        <v>0060012837</v>
      </c>
      <c r="E323" t="str">
        <f>CONCATENATE("0120415000070       ","")</f>
        <v xml:space="preserve">0120415000070       </v>
      </c>
      <c r="F323" t="str">
        <f>CONCATENATE("605290814","")</f>
        <v>605290814</v>
      </c>
      <c r="G323" t="s">
        <v>621</v>
      </c>
      <c r="H323" t="s">
        <v>622</v>
      </c>
      <c r="I323" t="s">
        <v>623</v>
      </c>
      <c r="J323" t="str">
        <f t="shared" si="38"/>
        <v>081205</v>
      </c>
      <c r="K323" t="s">
        <v>22</v>
      </c>
      <c r="L323" t="s">
        <v>23</v>
      </c>
      <c r="M323" t="str">
        <f t="shared" si="37"/>
        <v>1</v>
      </c>
      <c r="O323" t="str">
        <f>CONCATENATE("2 ","")</f>
        <v xml:space="preserve">2 </v>
      </c>
      <c r="P323">
        <v>33</v>
      </c>
      <c r="Q323" t="s">
        <v>24</v>
      </c>
    </row>
    <row r="324" spans="1:17" x14ac:dyDescent="0.25">
      <c r="A324" t="s">
        <v>17</v>
      </c>
      <c r="B324" s="1">
        <v>41718</v>
      </c>
      <c r="C324" t="s">
        <v>486</v>
      </c>
      <c r="D324" t="str">
        <f>CONCATENATE("0060012840","")</f>
        <v>0060012840</v>
      </c>
      <c r="E324" t="str">
        <f>CONCATENATE("0120415000110       ","")</f>
        <v xml:space="preserve">0120415000110       </v>
      </c>
      <c r="F324" t="str">
        <f>CONCATENATE("605290827","")</f>
        <v>605290827</v>
      </c>
      <c r="G324" t="s">
        <v>621</v>
      </c>
      <c r="H324" t="s">
        <v>624</v>
      </c>
      <c r="I324" t="s">
        <v>623</v>
      </c>
      <c r="J324" t="str">
        <f t="shared" si="38"/>
        <v>081205</v>
      </c>
      <c r="K324" t="s">
        <v>22</v>
      </c>
      <c r="L324" t="s">
        <v>23</v>
      </c>
      <c r="M324" t="str">
        <f t="shared" si="37"/>
        <v>1</v>
      </c>
      <c r="O324" t="str">
        <f>CONCATENATE("3 ","")</f>
        <v xml:space="preserve">3 </v>
      </c>
      <c r="P324">
        <v>22.95</v>
      </c>
      <c r="Q324" t="s">
        <v>24</v>
      </c>
    </row>
    <row r="325" spans="1:17" x14ac:dyDescent="0.25">
      <c r="A325" t="s">
        <v>17</v>
      </c>
      <c r="B325" s="1">
        <v>41718</v>
      </c>
      <c r="C325" t="s">
        <v>486</v>
      </c>
      <c r="D325" t="str">
        <f>CONCATENATE("0060012845","")</f>
        <v>0060012845</v>
      </c>
      <c r="E325" t="str">
        <f>CONCATENATE("0120415000150       ","")</f>
        <v xml:space="preserve">0120415000150       </v>
      </c>
      <c r="F325" t="str">
        <f>CONCATENATE("605290838","")</f>
        <v>605290838</v>
      </c>
      <c r="G325" t="s">
        <v>621</v>
      </c>
      <c r="H325" t="s">
        <v>625</v>
      </c>
      <c r="I325" t="s">
        <v>623</v>
      </c>
      <c r="J325" t="str">
        <f t="shared" si="38"/>
        <v>081205</v>
      </c>
      <c r="K325" t="s">
        <v>22</v>
      </c>
      <c r="L325" t="s">
        <v>23</v>
      </c>
      <c r="M325" t="str">
        <f t="shared" si="37"/>
        <v>1</v>
      </c>
      <c r="O325" t="str">
        <f t="shared" ref="O325:O331" si="39">CONCATENATE("1 ","")</f>
        <v xml:space="preserve">1 </v>
      </c>
      <c r="P325">
        <v>19.75</v>
      </c>
      <c r="Q325" t="s">
        <v>24</v>
      </c>
    </row>
    <row r="326" spans="1:17" x14ac:dyDescent="0.25">
      <c r="A326" t="s">
        <v>17</v>
      </c>
      <c r="B326" s="1">
        <v>41718</v>
      </c>
      <c r="C326" t="s">
        <v>486</v>
      </c>
      <c r="D326" t="str">
        <f>CONCATENATE("0060012971","")</f>
        <v>0060012971</v>
      </c>
      <c r="E326" t="str">
        <f>CONCATENATE("0120416000150       ","")</f>
        <v xml:space="preserve">0120416000150       </v>
      </c>
      <c r="F326" t="str">
        <f>CONCATENATE("0605291984","")</f>
        <v>0605291984</v>
      </c>
      <c r="G326" t="s">
        <v>626</v>
      </c>
      <c r="H326" t="s">
        <v>627</v>
      </c>
      <c r="I326" t="s">
        <v>628</v>
      </c>
      <c r="J326" t="str">
        <f t="shared" si="38"/>
        <v>081205</v>
      </c>
      <c r="K326" t="s">
        <v>22</v>
      </c>
      <c r="L326" t="s">
        <v>23</v>
      </c>
      <c r="M326" t="str">
        <f t="shared" si="37"/>
        <v>1</v>
      </c>
      <c r="O326" t="str">
        <f t="shared" si="39"/>
        <v xml:space="preserve">1 </v>
      </c>
      <c r="P326">
        <v>20.05</v>
      </c>
      <c r="Q326" t="s">
        <v>24</v>
      </c>
    </row>
    <row r="327" spans="1:17" x14ac:dyDescent="0.25">
      <c r="A327" t="s">
        <v>17</v>
      </c>
      <c r="B327" s="1">
        <v>41718</v>
      </c>
      <c r="C327" t="s">
        <v>486</v>
      </c>
      <c r="D327" t="str">
        <f>CONCATENATE("0060012747","")</f>
        <v>0060012747</v>
      </c>
      <c r="E327" t="str">
        <f>CONCATENATE("0120416000690       ","")</f>
        <v xml:space="preserve">0120416000690       </v>
      </c>
      <c r="F327" t="str">
        <f>CONCATENATE("605292002","")</f>
        <v>605292002</v>
      </c>
      <c r="G327" t="s">
        <v>626</v>
      </c>
      <c r="H327" t="s">
        <v>629</v>
      </c>
      <c r="I327" t="s">
        <v>628</v>
      </c>
      <c r="J327" t="str">
        <f t="shared" si="38"/>
        <v>081205</v>
      </c>
      <c r="K327" t="s">
        <v>22</v>
      </c>
      <c r="L327" t="s">
        <v>23</v>
      </c>
      <c r="M327" t="str">
        <f t="shared" si="37"/>
        <v>1</v>
      </c>
      <c r="O327" t="str">
        <f t="shared" si="39"/>
        <v xml:space="preserve">1 </v>
      </c>
      <c r="P327">
        <v>10.45</v>
      </c>
      <c r="Q327" t="s">
        <v>24</v>
      </c>
    </row>
    <row r="328" spans="1:17" x14ac:dyDescent="0.25">
      <c r="A328" t="s">
        <v>17</v>
      </c>
      <c r="B328" s="1">
        <v>41718</v>
      </c>
      <c r="C328" t="s">
        <v>486</v>
      </c>
      <c r="D328" t="str">
        <f>CONCATENATE("0060013086","")</f>
        <v>0060013086</v>
      </c>
      <c r="E328" t="str">
        <f>CONCATENATE("0120417000020       ","")</f>
        <v xml:space="preserve">0120417000020       </v>
      </c>
      <c r="F328" t="str">
        <f>CONCATENATE("605282068","")</f>
        <v>605282068</v>
      </c>
      <c r="G328" t="s">
        <v>630</v>
      </c>
      <c r="H328" t="s">
        <v>631</v>
      </c>
      <c r="I328" t="s">
        <v>632</v>
      </c>
      <c r="J328" t="str">
        <f t="shared" si="38"/>
        <v>081205</v>
      </c>
      <c r="K328" t="s">
        <v>22</v>
      </c>
      <c r="L328" t="s">
        <v>23</v>
      </c>
      <c r="M328" t="str">
        <f t="shared" si="37"/>
        <v>1</v>
      </c>
      <c r="O328" t="str">
        <f t="shared" si="39"/>
        <v xml:space="preserve">1 </v>
      </c>
      <c r="P328">
        <v>16.7</v>
      </c>
      <c r="Q328" t="s">
        <v>24</v>
      </c>
    </row>
    <row r="329" spans="1:17" x14ac:dyDescent="0.25">
      <c r="A329" t="s">
        <v>17</v>
      </c>
      <c r="B329" s="1">
        <v>41718</v>
      </c>
      <c r="C329" t="s">
        <v>486</v>
      </c>
      <c r="D329" t="str">
        <f>CONCATENATE("0060013088","")</f>
        <v>0060013088</v>
      </c>
      <c r="E329" t="str">
        <f>CONCATENATE("0120417000040       ","")</f>
        <v xml:space="preserve">0120417000040       </v>
      </c>
      <c r="F329" t="str">
        <f>CONCATENATE("0605283373","")</f>
        <v>0605283373</v>
      </c>
      <c r="G329" t="s">
        <v>630</v>
      </c>
      <c r="H329" t="s">
        <v>633</v>
      </c>
      <c r="I329" t="s">
        <v>632</v>
      </c>
      <c r="J329" t="str">
        <f t="shared" si="38"/>
        <v>081205</v>
      </c>
      <c r="K329" t="s">
        <v>22</v>
      </c>
      <c r="L329" t="s">
        <v>23</v>
      </c>
      <c r="M329" t="str">
        <f t="shared" si="37"/>
        <v>1</v>
      </c>
      <c r="O329" t="str">
        <f t="shared" si="39"/>
        <v xml:space="preserve">1 </v>
      </c>
      <c r="P329">
        <v>16.75</v>
      </c>
      <c r="Q329" t="s">
        <v>24</v>
      </c>
    </row>
    <row r="330" spans="1:17" x14ac:dyDescent="0.25">
      <c r="A330" t="s">
        <v>17</v>
      </c>
      <c r="B330" s="1">
        <v>41718</v>
      </c>
      <c r="C330" t="s">
        <v>486</v>
      </c>
      <c r="D330" t="str">
        <f>CONCATENATE("0060013091","")</f>
        <v>0060013091</v>
      </c>
      <c r="E330" t="str">
        <f>CONCATENATE("0120417000070       ","")</f>
        <v xml:space="preserve">0120417000070       </v>
      </c>
      <c r="F330" t="str">
        <f>CONCATENATE("0605282055","")</f>
        <v>0605282055</v>
      </c>
      <c r="G330" t="s">
        <v>630</v>
      </c>
      <c r="H330" t="s">
        <v>634</v>
      </c>
      <c r="I330" t="s">
        <v>632</v>
      </c>
      <c r="J330" t="str">
        <f t="shared" si="38"/>
        <v>081205</v>
      </c>
      <c r="K330" t="s">
        <v>22</v>
      </c>
      <c r="L330" t="s">
        <v>23</v>
      </c>
      <c r="M330" t="str">
        <f t="shared" si="37"/>
        <v>1</v>
      </c>
      <c r="O330" t="str">
        <f t="shared" si="39"/>
        <v xml:space="preserve">1 </v>
      </c>
      <c r="P330">
        <v>10.45</v>
      </c>
      <c r="Q330" t="s">
        <v>24</v>
      </c>
    </row>
    <row r="331" spans="1:17" x14ac:dyDescent="0.25">
      <c r="A331" t="s">
        <v>17</v>
      </c>
      <c r="B331" s="1">
        <v>41718</v>
      </c>
      <c r="C331" t="s">
        <v>486</v>
      </c>
      <c r="D331" t="str">
        <f>CONCATENATE("0060013095","")</f>
        <v>0060013095</v>
      </c>
      <c r="E331" t="str">
        <f>CONCATENATE("0120417000110       ","")</f>
        <v xml:space="preserve">0120417000110       </v>
      </c>
      <c r="F331" t="str">
        <f>CONCATENATE("0605282063","")</f>
        <v>0605282063</v>
      </c>
      <c r="G331" t="s">
        <v>630</v>
      </c>
      <c r="H331" t="s">
        <v>635</v>
      </c>
      <c r="I331" t="s">
        <v>632</v>
      </c>
      <c r="J331" t="str">
        <f t="shared" si="38"/>
        <v>081205</v>
      </c>
      <c r="K331" t="s">
        <v>22</v>
      </c>
      <c r="L331" t="s">
        <v>23</v>
      </c>
      <c r="M331" t="str">
        <f t="shared" si="37"/>
        <v>1</v>
      </c>
      <c r="O331" t="str">
        <f t="shared" si="39"/>
        <v xml:space="preserve">1 </v>
      </c>
      <c r="P331">
        <v>11.55</v>
      </c>
      <c r="Q331" t="s">
        <v>24</v>
      </c>
    </row>
    <row r="332" spans="1:17" x14ac:dyDescent="0.25">
      <c r="A332" t="s">
        <v>17</v>
      </c>
      <c r="B332" s="1">
        <v>41718</v>
      </c>
      <c r="C332" t="s">
        <v>486</v>
      </c>
      <c r="D332" t="str">
        <f>CONCATENATE("0060013097","")</f>
        <v>0060013097</v>
      </c>
      <c r="E332" t="str">
        <f>CONCATENATE("0120417000130       ","")</f>
        <v xml:space="preserve">0120417000130       </v>
      </c>
      <c r="F332" t="str">
        <f>CONCATENATE("0605282050","")</f>
        <v>0605282050</v>
      </c>
      <c r="G332" t="s">
        <v>630</v>
      </c>
      <c r="H332" t="s">
        <v>636</v>
      </c>
      <c r="I332" t="s">
        <v>632</v>
      </c>
      <c r="J332" t="str">
        <f t="shared" si="38"/>
        <v>081205</v>
      </c>
      <c r="K332" t="s">
        <v>22</v>
      </c>
      <c r="L332" t="s">
        <v>23</v>
      </c>
      <c r="M332" t="str">
        <f t="shared" si="37"/>
        <v>1</v>
      </c>
      <c r="O332" t="str">
        <f>CONCATENATE("2 ","")</f>
        <v xml:space="preserve">2 </v>
      </c>
      <c r="P332">
        <v>28</v>
      </c>
      <c r="Q332" t="s">
        <v>24</v>
      </c>
    </row>
    <row r="333" spans="1:17" x14ac:dyDescent="0.25">
      <c r="A333" t="s">
        <v>17</v>
      </c>
      <c r="B333" s="1">
        <v>41718</v>
      </c>
      <c r="C333" t="s">
        <v>486</v>
      </c>
      <c r="D333" t="str">
        <f>CONCATENATE("0060013113","")</f>
        <v>0060013113</v>
      </c>
      <c r="E333" t="str">
        <f>CONCATENATE("0120417000290       ","")</f>
        <v xml:space="preserve">0120417000290       </v>
      </c>
      <c r="F333" t="str">
        <f>CONCATENATE("605282062","")</f>
        <v>605282062</v>
      </c>
      <c r="G333" t="s">
        <v>630</v>
      </c>
      <c r="H333" t="s">
        <v>637</v>
      </c>
      <c r="I333" t="s">
        <v>632</v>
      </c>
      <c r="J333" t="str">
        <f t="shared" si="38"/>
        <v>081205</v>
      </c>
      <c r="K333" t="s">
        <v>22</v>
      </c>
      <c r="L333" t="s">
        <v>23</v>
      </c>
      <c r="M333" t="str">
        <f t="shared" si="37"/>
        <v>1</v>
      </c>
      <c r="O333" t="str">
        <f t="shared" ref="O333:O344" si="40">CONCATENATE("1 ","")</f>
        <v xml:space="preserve">1 </v>
      </c>
      <c r="P333">
        <v>20.2</v>
      </c>
      <c r="Q333" t="s">
        <v>24</v>
      </c>
    </row>
    <row r="334" spans="1:17" x14ac:dyDescent="0.25">
      <c r="A334" t="s">
        <v>17</v>
      </c>
      <c r="B334" s="1">
        <v>41718</v>
      </c>
      <c r="C334" t="s">
        <v>486</v>
      </c>
      <c r="D334" t="str">
        <f>CONCATENATE("0060013076","")</f>
        <v>0060013076</v>
      </c>
      <c r="E334" t="str">
        <f>CONCATENATE("0120418000005       ","")</f>
        <v xml:space="preserve">0120418000005       </v>
      </c>
      <c r="F334" t="str">
        <f>CONCATENATE("0605283385","")</f>
        <v>0605283385</v>
      </c>
      <c r="G334" t="s">
        <v>638</v>
      </c>
      <c r="H334" t="s">
        <v>639</v>
      </c>
      <c r="I334" t="s">
        <v>640</v>
      </c>
      <c r="J334" t="str">
        <f t="shared" si="38"/>
        <v>081205</v>
      </c>
      <c r="K334" t="s">
        <v>22</v>
      </c>
      <c r="L334" t="s">
        <v>23</v>
      </c>
      <c r="M334" t="str">
        <f t="shared" si="37"/>
        <v>1</v>
      </c>
      <c r="O334" t="str">
        <f t="shared" si="40"/>
        <v xml:space="preserve">1 </v>
      </c>
      <c r="P334">
        <v>10.85</v>
      </c>
      <c r="Q334" t="s">
        <v>24</v>
      </c>
    </row>
    <row r="335" spans="1:17" x14ac:dyDescent="0.25">
      <c r="A335" t="s">
        <v>17</v>
      </c>
      <c r="B335" s="1">
        <v>41718</v>
      </c>
      <c r="C335" t="s">
        <v>486</v>
      </c>
      <c r="D335" t="str">
        <f>CONCATENATE("0060014741","")</f>
        <v>0060014741</v>
      </c>
      <c r="E335" t="str">
        <f>CONCATENATE("0120419000125       ","")</f>
        <v xml:space="preserve">0120419000125       </v>
      </c>
      <c r="F335" t="str">
        <f>CONCATENATE("605933447","")</f>
        <v>605933447</v>
      </c>
      <c r="G335" t="s">
        <v>641</v>
      </c>
      <c r="H335" t="s">
        <v>642</v>
      </c>
      <c r="I335" t="s">
        <v>643</v>
      </c>
      <c r="J335" t="str">
        <f t="shared" si="38"/>
        <v>081205</v>
      </c>
      <c r="K335" t="s">
        <v>22</v>
      </c>
      <c r="L335" t="s">
        <v>23</v>
      </c>
      <c r="M335" t="str">
        <f t="shared" si="37"/>
        <v>1</v>
      </c>
      <c r="O335" t="str">
        <f t="shared" si="40"/>
        <v xml:space="preserve">1 </v>
      </c>
      <c r="P335">
        <v>17.45</v>
      </c>
      <c r="Q335" t="s">
        <v>24</v>
      </c>
    </row>
    <row r="336" spans="1:17" x14ac:dyDescent="0.25">
      <c r="A336" t="s">
        <v>17</v>
      </c>
      <c r="B336" s="1">
        <v>41718</v>
      </c>
      <c r="C336" t="s">
        <v>486</v>
      </c>
      <c r="D336" t="str">
        <f>CONCATENATE("0060013192","")</f>
        <v>0060013192</v>
      </c>
      <c r="E336" t="str">
        <f>CONCATENATE("0120419000170       ","")</f>
        <v xml:space="preserve">0120419000170       </v>
      </c>
      <c r="F336" t="str">
        <f>CONCATENATE("763787","")</f>
        <v>763787</v>
      </c>
      <c r="G336" t="s">
        <v>641</v>
      </c>
      <c r="H336" t="s">
        <v>644</v>
      </c>
      <c r="I336" t="s">
        <v>645</v>
      </c>
      <c r="J336" t="str">
        <f t="shared" si="38"/>
        <v>081205</v>
      </c>
      <c r="K336" t="s">
        <v>22</v>
      </c>
      <c r="L336" t="s">
        <v>23</v>
      </c>
      <c r="M336" t="str">
        <f t="shared" si="37"/>
        <v>1</v>
      </c>
      <c r="O336" t="str">
        <f t="shared" si="40"/>
        <v xml:space="preserve">1 </v>
      </c>
      <c r="P336">
        <v>15.6</v>
      </c>
      <c r="Q336" t="s">
        <v>24</v>
      </c>
    </row>
    <row r="337" spans="1:17" x14ac:dyDescent="0.25">
      <c r="A337" t="s">
        <v>17</v>
      </c>
      <c r="B337" s="1">
        <v>41718</v>
      </c>
      <c r="C337" t="s">
        <v>486</v>
      </c>
      <c r="D337" t="str">
        <f>CONCATENATE("0060013194","")</f>
        <v>0060013194</v>
      </c>
      <c r="E337" t="str">
        <f>CONCATENATE("0120419000220       ","")</f>
        <v xml:space="preserve">0120419000220       </v>
      </c>
      <c r="F337" t="str">
        <f>CONCATENATE("763786","")</f>
        <v>763786</v>
      </c>
      <c r="G337" t="s">
        <v>641</v>
      </c>
      <c r="H337" t="s">
        <v>646</v>
      </c>
      <c r="I337" t="s">
        <v>645</v>
      </c>
      <c r="J337" t="str">
        <f t="shared" si="38"/>
        <v>081205</v>
      </c>
      <c r="K337" t="s">
        <v>22</v>
      </c>
      <c r="L337" t="s">
        <v>23</v>
      </c>
      <c r="M337" t="str">
        <f t="shared" si="37"/>
        <v>1</v>
      </c>
      <c r="O337" t="str">
        <f t="shared" si="40"/>
        <v xml:space="preserve">1 </v>
      </c>
      <c r="P337">
        <v>10.45</v>
      </c>
      <c r="Q337" t="s">
        <v>24</v>
      </c>
    </row>
    <row r="338" spans="1:17" x14ac:dyDescent="0.25">
      <c r="A338" t="s">
        <v>17</v>
      </c>
      <c r="B338" s="1">
        <v>41718</v>
      </c>
      <c r="C338" t="s">
        <v>486</v>
      </c>
      <c r="D338" t="str">
        <f>CONCATENATE("0060013423","")</f>
        <v>0060013423</v>
      </c>
      <c r="E338" t="str">
        <f>CONCATENATE("0120419000560       ","")</f>
        <v xml:space="preserve">0120419000560       </v>
      </c>
      <c r="F338" t="str">
        <f>CONCATENATE("763826","")</f>
        <v>763826</v>
      </c>
      <c r="G338" t="s">
        <v>641</v>
      </c>
      <c r="H338" t="s">
        <v>647</v>
      </c>
      <c r="I338" t="s">
        <v>645</v>
      </c>
      <c r="J338" t="str">
        <f t="shared" si="38"/>
        <v>081205</v>
      </c>
      <c r="K338" t="s">
        <v>22</v>
      </c>
      <c r="L338" t="s">
        <v>23</v>
      </c>
      <c r="M338" t="str">
        <f t="shared" si="37"/>
        <v>1</v>
      </c>
      <c r="O338" t="str">
        <f t="shared" si="40"/>
        <v xml:space="preserve">1 </v>
      </c>
      <c r="P338">
        <v>51.5</v>
      </c>
      <c r="Q338" t="s">
        <v>24</v>
      </c>
    </row>
    <row r="339" spans="1:17" x14ac:dyDescent="0.25">
      <c r="A339" t="s">
        <v>17</v>
      </c>
      <c r="B339" s="1">
        <v>41718</v>
      </c>
      <c r="C339" t="s">
        <v>486</v>
      </c>
      <c r="D339" t="str">
        <f>CONCATENATE("0060012822","")</f>
        <v>0060012822</v>
      </c>
      <c r="E339" t="str">
        <f>CONCATENATE("0120420000030       ","")</f>
        <v xml:space="preserve">0120420000030       </v>
      </c>
      <c r="F339" t="str">
        <f>CONCATENATE("605291203","")</f>
        <v>605291203</v>
      </c>
      <c r="G339" t="s">
        <v>648</v>
      </c>
      <c r="H339" t="s">
        <v>649</v>
      </c>
      <c r="I339" t="s">
        <v>650</v>
      </c>
      <c r="J339" t="str">
        <f t="shared" si="38"/>
        <v>081205</v>
      </c>
      <c r="K339" t="s">
        <v>22</v>
      </c>
      <c r="L339" t="s">
        <v>23</v>
      </c>
      <c r="M339" t="str">
        <f t="shared" si="37"/>
        <v>1</v>
      </c>
      <c r="O339" t="str">
        <f t="shared" si="40"/>
        <v xml:space="preserve">1 </v>
      </c>
      <c r="P339">
        <v>10.85</v>
      </c>
      <c r="Q339" t="s">
        <v>24</v>
      </c>
    </row>
    <row r="340" spans="1:17" x14ac:dyDescent="0.25">
      <c r="A340" t="s">
        <v>17</v>
      </c>
      <c r="B340" s="1">
        <v>41718</v>
      </c>
      <c r="C340" t="s">
        <v>486</v>
      </c>
      <c r="D340" t="str">
        <f>CONCATENATE("0060012816","")</f>
        <v>0060012816</v>
      </c>
      <c r="E340" t="str">
        <f>CONCATENATE("0120420000410       ","")</f>
        <v xml:space="preserve">0120420000410       </v>
      </c>
      <c r="F340" t="str">
        <f>CONCATENATE("605290949","")</f>
        <v>605290949</v>
      </c>
      <c r="G340" t="s">
        <v>648</v>
      </c>
      <c r="H340" t="s">
        <v>651</v>
      </c>
      <c r="I340" t="s">
        <v>652</v>
      </c>
      <c r="J340" t="str">
        <f t="shared" si="38"/>
        <v>081205</v>
      </c>
      <c r="K340" t="s">
        <v>22</v>
      </c>
      <c r="L340" t="s">
        <v>23</v>
      </c>
      <c r="M340" t="str">
        <f t="shared" si="37"/>
        <v>1</v>
      </c>
      <c r="O340" t="str">
        <f t="shared" si="40"/>
        <v xml:space="preserve">1 </v>
      </c>
      <c r="P340">
        <v>19.3</v>
      </c>
      <c r="Q340" t="s">
        <v>24</v>
      </c>
    </row>
    <row r="341" spans="1:17" x14ac:dyDescent="0.25">
      <c r="A341" t="s">
        <v>17</v>
      </c>
      <c r="B341" s="1">
        <v>41718</v>
      </c>
      <c r="C341" t="s">
        <v>486</v>
      </c>
      <c r="D341" t="str">
        <f>CONCATENATE("0060012806","")</f>
        <v>0060012806</v>
      </c>
      <c r="E341" t="str">
        <f>CONCATENATE("0120420000500       ","")</f>
        <v xml:space="preserve">0120420000500       </v>
      </c>
      <c r="F341" t="str">
        <f>CONCATENATE("605290953","")</f>
        <v>605290953</v>
      </c>
      <c r="G341" t="s">
        <v>648</v>
      </c>
      <c r="H341" t="s">
        <v>653</v>
      </c>
      <c r="I341" t="s">
        <v>652</v>
      </c>
      <c r="J341" t="str">
        <f t="shared" si="38"/>
        <v>081205</v>
      </c>
      <c r="K341" t="s">
        <v>22</v>
      </c>
      <c r="L341" t="s">
        <v>23</v>
      </c>
      <c r="M341" t="str">
        <f t="shared" si="37"/>
        <v>1</v>
      </c>
      <c r="O341" t="str">
        <f t="shared" si="40"/>
        <v xml:space="preserve">1 </v>
      </c>
      <c r="P341">
        <v>10.95</v>
      </c>
      <c r="Q341" t="s">
        <v>24</v>
      </c>
    </row>
    <row r="342" spans="1:17" x14ac:dyDescent="0.25">
      <c r="A342" t="s">
        <v>17</v>
      </c>
      <c r="B342" s="1">
        <v>41718</v>
      </c>
      <c r="C342" t="s">
        <v>486</v>
      </c>
      <c r="D342" t="str">
        <f>CONCATENATE("0060013339","")</f>
        <v>0060013339</v>
      </c>
      <c r="E342" t="str">
        <f>CONCATENATE("0120421000055       ","")</f>
        <v xml:space="preserve">0120421000055       </v>
      </c>
      <c r="F342" t="str">
        <f>CONCATENATE("605282292","")</f>
        <v>605282292</v>
      </c>
      <c r="G342" t="s">
        <v>542</v>
      </c>
      <c r="H342" t="s">
        <v>654</v>
      </c>
      <c r="I342" t="s">
        <v>655</v>
      </c>
      <c r="J342" t="str">
        <f t="shared" si="38"/>
        <v>081205</v>
      </c>
      <c r="K342" t="s">
        <v>22</v>
      </c>
      <c r="L342" t="s">
        <v>23</v>
      </c>
      <c r="M342" t="str">
        <f t="shared" si="37"/>
        <v>1</v>
      </c>
      <c r="O342" t="str">
        <f t="shared" si="40"/>
        <v xml:space="preserve">1 </v>
      </c>
      <c r="P342">
        <v>10.45</v>
      </c>
      <c r="Q342" t="s">
        <v>24</v>
      </c>
    </row>
    <row r="343" spans="1:17" x14ac:dyDescent="0.25">
      <c r="A343" t="s">
        <v>17</v>
      </c>
      <c r="B343" s="1">
        <v>41718</v>
      </c>
      <c r="C343" t="s">
        <v>486</v>
      </c>
      <c r="D343" t="str">
        <f>CONCATENATE("0060013154","")</f>
        <v>0060013154</v>
      </c>
      <c r="E343" t="str">
        <f>CONCATENATE("0120421000110       ","")</f>
        <v xml:space="preserve">0120421000110       </v>
      </c>
      <c r="F343" t="str">
        <f>CONCATENATE("763717","")</f>
        <v>763717</v>
      </c>
      <c r="G343" t="s">
        <v>542</v>
      </c>
      <c r="H343" t="s">
        <v>656</v>
      </c>
      <c r="I343" t="s">
        <v>655</v>
      </c>
      <c r="J343" t="str">
        <f t="shared" si="38"/>
        <v>081205</v>
      </c>
      <c r="K343" t="s">
        <v>22</v>
      </c>
      <c r="L343" t="s">
        <v>23</v>
      </c>
      <c r="M343" t="str">
        <f t="shared" si="37"/>
        <v>1</v>
      </c>
      <c r="O343" t="str">
        <f t="shared" si="40"/>
        <v xml:space="preserve">1 </v>
      </c>
      <c r="P343">
        <v>10.5</v>
      </c>
      <c r="Q343" t="s">
        <v>24</v>
      </c>
    </row>
    <row r="344" spans="1:17" x14ac:dyDescent="0.25">
      <c r="A344" t="s">
        <v>17</v>
      </c>
      <c r="B344" s="1">
        <v>41718</v>
      </c>
      <c r="C344" t="s">
        <v>486</v>
      </c>
      <c r="D344" t="str">
        <f>CONCATENATE("0060013157","")</f>
        <v>0060013157</v>
      </c>
      <c r="E344" t="str">
        <f>CONCATENATE("0120421000140       ","")</f>
        <v xml:space="preserve">0120421000140       </v>
      </c>
      <c r="F344" t="str">
        <f>CONCATENATE("762476","")</f>
        <v>762476</v>
      </c>
      <c r="G344" t="s">
        <v>657</v>
      </c>
      <c r="H344" t="s">
        <v>658</v>
      </c>
      <c r="I344" t="s">
        <v>655</v>
      </c>
      <c r="J344" t="str">
        <f t="shared" si="38"/>
        <v>081205</v>
      </c>
      <c r="K344" t="s">
        <v>22</v>
      </c>
      <c r="L344" t="s">
        <v>23</v>
      </c>
      <c r="M344" t="str">
        <f t="shared" si="37"/>
        <v>1</v>
      </c>
      <c r="O344" t="str">
        <f t="shared" si="40"/>
        <v xml:space="preserve">1 </v>
      </c>
      <c r="P344">
        <v>10.55</v>
      </c>
      <c r="Q344" t="s">
        <v>24</v>
      </c>
    </row>
    <row r="345" spans="1:17" x14ac:dyDescent="0.25">
      <c r="A345" t="s">
        <v>17</v>
      </c>
      <c r="B345" s="1">
        <v>41718</v>
      </c>
      <c r="C345" t="s">
        <v>486</v>
      </c>
      <c r="D345" t="str">
        <f>CONCATENATE("0060013153","")</f>
        <v>0060013153</v>
      </c>
      <c r="E345" t="str">
        <f>CONCATENATE("0120421000150       ","")</f>
        <v xml:space="preserve">0120421000150       </v>
      </c>
      <c r="F345" t="str">
        <f>CONCATENATE("762492","")</f>
        <v>762492</v>
      </c>
      <c r="G345" t="s">
        <v>657</v>
      </c>
      <c r="H345" t="s">
        <v>659</v>
      </c>
      <c r="I345" t="s">
        <v>655</v>
      </c>
      <c r="J345" t="str">
        <f t="shared" si="38"/>
        <v>081205</v>
      </c>
      <c r="K345" t="s">
        <v>22</v>
      </c>
      <c r="L345" t="s">
        <v>23</v>
      </c>
      <c r="M345" t="str">
        <f t="shared" si="37"/>
        <v>1</v>
      </c>
      <c r="O345" t="str">
        <f>CONCATENATE("5 ","")</f>
        <v xml:space="preserve">5 </v>
      </c>
      <c r="P345">
        <v>177.05</v>
      </c>
      <c r="Q345" t="s">
        <v>24</v>
      </c>
    </row>
    <row r="346" spans="1:17" x14ac:dyDescent="0.25">
      <c r="A346" t="s">
        <v>17</v>
      </c>
      <c r="B346" s="1">
        <v>41718</v>
      </c>
      <c r="C346" t="s">
        <v>486</v>
      </c>
      <c r="D346" t="str">
        <f>CONCATENATE("0060013160","")</f>
        <v>0060013160</v>
      </c>
      <c r="E346" t="str">
        <f>CONCATENATE("0120421000180       ","")</f>
        <v xml:space="preserve">0120421000180       </v>
      </c>
      <c r="F346" t="str">
        <f>CONCATENATE("762486","")</f>
        <v>762486</v>
      </c>
      <c r="G346" t="s">
        <v>657</v>
      </c>
      <c r="H346" t="s">
        <v>660</v>
      </c>
      <c r="I346" t="s">
        <v>655</v>
      </c>
      <c r="J346" t="str">
        <f t="shared" si="38"/>
        <v>081205</v>
      </c>
      <c r="K346" t="s">
        <v>22</v>
      </c>
      <c r="L346" t="s">
        <v>23</v>
      </c>
      <c r="M346" t="str">
        <f t="shared" si="37"/>
        <v>1</v>
      </c>
      <c r="O346" t="str">
        <f>CONCATENATE("1 ","")</f>
        <v xml:space="preserve">1 </v>
      </c>
      <c r="P346">
        <v>34.799999999999997</v>
      </c>
      <c r="Q346" t="s">
        <v>24</v>
      </c>
    </row>
    <row r="347" spans="1:17" x14ac:dyDescent="0.25">
      <c r="A347" t="s">
        <v>17</v>
      </c>
      <c r="B347" s="1">
        <v>41718</v>
      </c>
      <c r="C347" t="s">
        <v>486</v>
      </c>
      <c r="D347" t="str">
        <f>CONCATENATE("0060013304","")</f>
        <v>0060013304</v>
      </c>
      <c r="E347" t="str">
        <f>CONCATENATE("0120421000605       ","")</f>
        <v xml:space="preserve">0120421000605       </v>
      </c>
      <c r="F347" t="str">
        <f>CONCATENATE("1931417","")</f>
        <v>1931417</v>
      </c>
      <c r="G347" t="s">
        <v>542</v>
      </c>
      <c r="H347" t="s">
        <v>661</v>
      </c>
      <c r="I347" t="s">
        <v>655</v>
      </c>
      <c r="J347" t="str">
        <f t="shared" si="38"/>
        <v>081205</v>
      </c>
      <c r="K347" t="s">
        <v>22</v>
      </c>
      <c r="L347" t="s">
        <v>23</v>
      </c>
      <c r="M347" t="str">
        <f t="shared" si="37"/>
        <v>1</v>
      </c>
      <c r="O347" t="str">
        <f>CONCATENATE("1 ","")</f>
        <v xml:space="preserve">1 </v>
      </c>
      <c r="P347">
        <v>23.8</v>
      </c>
      <c r="Q347" t="s">
        <v>24</v>
      </c>
    </row>
    <row r="348" spans="1:17" x14ac:dyDescent="0.25">
      <c r="A348" t="s">
        <v>17</v>
      </c>
      <c r="B348" s="1">
        <v>41718</v>
      </c>
      <c r="C348" t="s">
        <v>486</v>
      </c>
      <c r="D348" t="str">
        <f>CONCATENATE("0060013216","")</f>
        <v>0060013216</v>
      </c>
      <c r="E348" t="str">
        <f>CONCATENATE("0120422000010       ","")</f>
        <v xml:space="preserve">0120422000010       </v>
      </c>
      <c r="F348" t="str">
        <f>CONCATENATE("763697","")</f>
        <v>763697</v>
      </c>
      <c r="G348" t="s">
        <v>662</v>
      </c>
      <c r="H348" t="s">
        <v>663</v>
      </c>
      <c r="I348" t="s">
        <v>664</v>
      </c>
      <c r="J348" t="str">
        <f t="shared" ref="J348:J374" si="41">CONCATENATE("081205","")</f>
        <v>081205</v>
      </c>
      <c r="K348" t="s">
        <v>22</v>
      </c>
      <c r="L348" t="s">
        <v>23</v>
      </c>
      <c r="M348" t="str">
        <f t="shared" si="37"/>
        <v>1</v>
      </c>
      <c r="O348" t="str">
        <f>CONCATENATE("6 ","")</f>
        <v xml:space="preserve">6 </v>
      </c>
      <c r="P348">
        <v>482.1</v>
      </c>
      <c r="Q348" t="s">
        <v>24</v>
      </c>
    </row>
    <row r="349" spans="1:17" x14ac:dyDescent="0.25">
      <c r="A349" t="s">
        <v>17</v>
      </c>
      <c r="B349" s="1">
        <v>41718</v>
      </c>
      <c r="C349" t="s">
        <v>486</v>
      </c>
      <c r="D349" t="str">
        <f>CONCATENATE("0060013229","")</f>
        <v>0060013229</v>
      </c>
      <c r="E349" t="str">
        <f>CONCATENATE("0120423000120       ","")</f>
        <v xml:space="preserve">0120423000120       </v>
      </c>
      <c r="F349" t="str">
        <f>CONCATENATE("763716","")</f>
        <v>763716</v>
      </c>
      <c r="G349" t="s">
        <v>665</v>
      </c>
      <c r="H349" t="s">
        <v>666</v>
      </c>
      <c r="I349" t="s">
        <v>667</v>
      </c>
      <c r="J349" t="str">
        <f t="shared" si="41"/>
        <v>081205</v>
      </c>
      <c r="K349" t="s">
        <v>22</v>
      </c>
      <c r="L349" t="s">
        <v>23</v>
      </c>
      <c r="M349" t="str">
        <f t="shared" si="37"/>
        <v>1</v>
      </c>
      <c r="O349" t="str">
        <f>CONCATENATE("1 ","")</f>
        <v xml:space="preserve">1 </v>
      </c>
      <c r="P349">
        <v>10.5</v>
      </c>
      <c r="Q349" t="s">
        <v>24</v>
      </c>
    </row>
    <row r="350" spans="1:17" x14ac:dyDescent="0.25">
      <c r="A350" t="s">
        <v>17</v>
      </c>
      <c r="B350" s="1">
        <v>41718</v>
      </c>
      <c r="C350" t="s">
        <v>486</v>
      </c>
      <c r="D350" t="str">
        <f>CONCATENATE("0060016291","")</f>
        <v>0060016291</v>
      </c>
      <c r="E350" t="str">
        <f>CONCATENATE("0120424000150       ","")</f>
        <v xml:space="preserve">0120424000150       </v>
      </c>
      <c r="F350" t="str">
        <f>CONCATENATE("1936025","")</f>
        <v>1936025</v>
      </c>
      <c r="G350" t="s">
        <v>668</v>
      </c>
      <c r="H350" t="s">
        <v>669</v>
      </c>
      <c r="I350" t="s">
        <v>670</v>
      </c>
      <c r="J350" t="str">
        <f t="shared" si="41"/>
        <v>081205</v>
      </c>
      <c r="K350" t="s">
        <v>22</v>
      </c>
      <c r="L350" t="s">
        <v>23</v>
      </c>
      <c r="M350" t="str">
        <f t="shared" si="37"/>
        <v>1</v>
      </c>
      <c r="O350" t="str">
        <f>CONCATENATE("1 ","")</f>
        <v xml:space="preserve">1 </v>
      </c>
      <c r="P350">
        <v>27.7</v>
      </c>
      <c r="Q350" t="s">
        <v>24</v>
      </c>
    </row>
    <row r="351" spans="1:17" x14ac:dyDescent="0.25">
      <c r="A351" t="s">
        <v>17</v>
      </c>
      <c r="B351" s="1">
        <v>41718</v>
      </c>
      <c r="C351" t="s">
        <v>486</v>
      </c>
      <c r="D351" t="str">
        <f>CONCATENATE("0060016932","")</f>
        <v>0060016932</v>
      </c>
      <c r="E351" t="str">
        <f>CONCATENATE("0120425000010       ","")</f>
        <v xml:space="preserve">0120425000010       </v>
      </c>
      <c r="F351" t="str">
        <f>CONCATENATE("1235767","")</f>
        <v>1235767</v>
      </c>
      <c r="G351" t="s">
        <v>601</v>
      </c>
      <c r="H351" t="s">
        <v>671</v>
      </c>
      <c r="I351" t="s">
        <v>672</v>
      </c>
      <c r="J351" t="str">
        <f t="shared" si="41"/>
        <v>081205</v>
      </c>
      <c r="K351" t="s">
        <v>22</v>
      </c>
      <c r="L351" t="s">
        <v>23</v>
      </c>
      <c r="M351" t="str">
        <f t="shared" si="37"/>
        <v>1</v>
      </c>
      <c r="O351" t="str">
        <f>CONCATENATE("1 ","")</f>
        <v xml:space="preserve">1 </v>
      </c>
      <c r="P351">
        <v>12.85</v>
      </c>
      <c r="Q351" t="s">
        <v>24</v>
      </c>
    </row>
    <row r="352" spans="1:17" x14ac:dyDescent="0.25">
      <c r="A352" t="s">
        <v>17</v>
      </c>
      <c r="B352" s="1">
        <v>41718</v>
      </c>
      <c r="C352" t="s">
        <v>486</v>
      </c>
      <c r="D352" t="str">
        <f>CONCATENATE("0060016938","")</f>
        <v>0060016938</v>
      </c>
      <c r="E352" t="str">
        <f>CONCATENATE("0120425000070       ","")</f>
        <v xml:space="preserve">0120425000070       </v>
      </c>
      <c r="F352" t="str">
        <f>CONCATENATE("1234769","")</f>
        <v>1234769</v>
      </c>
      <c r="G352" t="s">
        <v>601</v>
      </c>
      <c r="H352" t="s">
        <v>673</v>
      </c>
      <c r="I352" t="s">
        <v>672</v>
      </c>
      <c r="J352" t="str">
        <f t="shared" si="41"/>
        <v>081205</v>
      </c>
      <c r="K352" t="s">
        <v>22</v>
      </c>
      <c r="L352" t="s">
        <v>23</v>
      </c>
      <c r="M352" t="str">
        <f t="shared" si="37"/>
        <v>1</v>
      </c>
      <c r="O352" t="str">
        <f>CONCATENATE("1 ","")</f>
        <v xml:space="preserve">1 </v>
      </c>
      <c r="P352">
        <v>19.149999999999999</v>
      </c>
      <c r="Q352" t="s">
        <v>24</v>
      </c>
    </row>
    <row r="353" spans="1:17" x14ac:dyDescent="0.25">
      <c r="A353" t="s">
        <v>17</v>
      </c>
      <c r="B353" s="1">
        <v>41718</v>
      </c>
      <c r="C353" t="s">
        <v>486</v>
      </c>
      <c r="D353" t="str">
        <f>CONCATENATE("0060016957","")</f>
        <v>0060016957</v>
      </c>
      <c r="E353" t="str">
        <f>CONCATENATE("0120425000260       ","")</f>
        <v xml:space="preserve">0120425000260       </v>
      </c>
      <c r="F353" t="str">
        <f>CONCATENATE("1234762","")</f>
        <v>1234762</v>
      </c>
      <c r="G353" t="s">
        <v>601</v>
      </c>
      <c r="H353" t="s">
        <v>674</v>
      </c>
      <c r="I353" t="s">
        <v>672</v>
      </c>
      <c r="J353" t="str">
        <f t="shared" si="41"/>
        <v>081205</v>
      </c>
      <c r="K353" t="s">
        <v>22</v>
      </c>
      <c r="L353" t="s">
        <v>23</v>
      </c>
      <c r="M353" t="str">
        <f t="shared" si="37"/>
        <v>1</v>
      </c>
      <c r="O353" t="str">
        <f>CONCATENATE("2 ","")</f>
        <v xml:space="preserve">2 </v>
      </c>
      <c r="P353">
        <v>32.700000000000003</v>
      </c>
      <c r="Q353" t="s">
        <v>24</v>
      </c>
    </row>
    <row r="354" spans="1:17" x14ac:dyDescent="0.25">
      <c r="A354" t="s">
        <v>17</v>
      </c>
      <c r="B354" s="1">
        <v>41718</v>
      </c>
      <c r="C354" t="s">
        <v>486</v>
      </c>
      <c r="D354" t="str">
        <f>CONCATENATE("0060016893","")</f>
        <v>0060016893</v>
      </c>
      <c r="E354" t="str">
        <f>CONCATENATE("0120426000020       ","")</f>
        <v xml:space="preserve">0120426000020       </v>
      </c>
      <c r="F354" t="str">
        <f>CONCATENATE("1235874","")</f>
        <v>1235874</v>
      </c>
      <c r="G354" t="s">
        <v>675</v>
      </c>
      <c r="H354" t="s">
        <v>676</v>
      </c>
      <c r="I354" t="s">
        <v>677</v>
      </c>
      <c r="J354" t="str">
        <f t="shared" si="41"/>
        <v>081205</v>
      </c>
      <c r="K354" t="s">
        <v>22</v>
      </c>
      <c r="L354" t="s">
        <v>23</v>
      </c>
      <c r="M354" t="str">
        <f t="shared" si="37"/>
        <v>1</v>
      </c>
      <c r="O354" t="str">
        <f>CONCATENATE("1 ","")</f>
        <v xml:space="preserve">1 </v>
      </c>
      <c r="P354">
        <v>14.15</v>
      </c>
      <c r="Q354" t="s">
        <v>24</v>
      </c>
    </row>
    <row r="355" spans="1:17" x14ac:dyDescent="0.25">
      <c r="A355" t="s">
        <v>17</v>
      </c>
      <c r="B355" s="1">
        <v>41718</v>
      </c>
      <c r="C355" t="s">
        <v>486</v>
      </c>
      <c r="D355" t="str">
        <f>CONCATENATE("0060016896","")</f>
        <v>0060016896</v>
      </c>
      <c r="E355" t="str">
        <f>CONCATENATE("0120426000050       ","")</f>
        <v xml:space="preserve">0120426000050       </v>
      </c>
      <c r="F355" t="str">
        <f>CONCATENATE("1235881","")</f>
        <v>1235881</v>
      </c>
      <c r="G355" t="s">
        <v>675</v>
      </c>
      <c r="H355" t="s">
        <v>678</v>
      </c>
      <c r="I355" t="s">
        <v>677</v>
      </c>
      <c r="J355" t="str">
        <f t="shared" si="41"/>
        <v>081205</v>
      </c>
      <c r="K355" t="s">
        <v>22</v>
      </c>
      <c r="L355" t="s">
        <v>23</v>
      </c>
      <c r="M355" t="str">
        <f t="shared" si="37"/>
        <v>1</v>
      </c>
      <c r="O355" t="str">
        <f>CONCATENATE("2 ","")</f>
        <v xml:space="preserve">2 </v>
      </c>
      <c r="P355">
        <v>19.399999999999999</v>
      </c>
      <c r="Q355" t="s">
        <v>24</v>
      </c>
    </row>
    <row r="356" spans="1:17" x14ac:dyDescent="0.25">
      <c r="A356" t="s">
        <v>17</v>
      </c>
      <c r="B356" s="1">
        <v>41718</v>
      </c>
      <c r="C356" t="s">
        <v>486</v>
      </c>
      <c r="D356" t="str">
        <f>CONCATENATE("0060016903","")</f>
        <v>0060016903</v>
      </c>
      <c r="E356" t="str">
        <f>CONCATENATE("0120426000120       ","")</f>
        <v xml:space="preserve">0120426000120       </v>
      </c>
      <c r="F356" t="str">
        <f>CONCATENATE("1235880","")</f>
        <v>1235880</v>
      </c>
      <c r="G356" t="s">
        <v>675</v>
      </c>
      <c r="H356" t="s">
        <v>679</v>
      </c>
      <c r="I356" t="s">
        <v>677</v>
      </c>
      <c r="J356" t="str">
        <f t="shared" si="41"/>
        <v>081205</v>
      </c>
      <c r="K356" t="s">
        <v>22</v>
      </c>
      <c r="L356" t="s">
        <v>23</v>
      </c>
      <c r="M356" t="str">
        <f t="shared" si="37"/>
        <v>1</v>
      </c>
      <c r="O356" t="str">
        <f>CONCATENATE("1 ","")</f>
        <v xml:space="preserve">1 </v>
      </c>
      <c r="P356">
        <v>18.100000000000001</v>
      </c>
      <c r="Q356" t="s">
        <v>24</v>
      </c>
    </row>
    <row r="357" spans="1:17" x14ac:dyDescent="0.25">
      <c r="A357" t="s">
        <v>17</v>
      </c>
      <c r="B357" s="1">
        <v>41718</v>
      </c>
      <c r="C357" t="s">
        <v>486</v>
      </c>
      <c r="D357" t="str">
        <f>CONCATENATE("0060016907","")</f>
        <v>0060016907</v>
      </c>
      <c r="E357" t="str">
        <f>CONCATENATE("0120426000160       ","")</f>
        <v xml:space="preserve">0120426000160       </v>
      </c>
      <c r="F357" t="str">
        <f>CONCATENATE("1235869","")</f>
        <v>1235869</v>
      </c>
      <c r="G357" t="s">
        <v>675</v>
      </c>
      <c r="H357" t="s">
        <v>680</v>
      </c>
      <c r="I357" t="s">
        <v>677</v>
      </c>
      <c r="J357" t="str">
        <f t="shared" si="41"/>
        <v>081205</v>
      </c>
      <c r="K357" t="s">
        <v>22</v>
      </c>
      <c r="L357" t="s">
        <v>23</v>
      </c>
      <c r="M357" t="str">
        <f t="shared" si="37"/>
        <v>1</v>
      </c>
      <c r="O357" t="str">
        <f>CONCATENATE("1 ","")</f>
        <v xml:space="preserve">1 </v>
      </c>
      <c r="P357">
        <v>15.45</v>
      </c>
      <c r="Q357" t="s">
        <v>24</v>
      </c>
    </row>
    <row r="358" spans="1:17" x14ac:dyDescent="0.25">
      <c r="A358" t="s">
        <v>17</v>
      </c>
      <c r="B358" s="1">
        <v>41718</v>
      </c>
      <c r="C358" t="s">
        <v>486</v>
      </c>
      <c r="D358" t="str">
        <f>CONCATENATE("0060013587","")</f>
        <v>0060013587</v>
      </c>
      <c r="E358" t="str">
        <f>CONCATENATE("0120427000015       ","")</f>
        <v xml:space="preserve">0120427000015       </v>
      </c>
      <c r="F358" t="str">
        <f>CONCATENATE("605622421","")</f>
        <v>605622421</v>
      </c>
      <c r="G358" t="s">
        <v>681</v>
      </c>
      <c r="H358" t="s">
        <v>682</v>
      </c>
      <c r="I358" t="s">
        <v>683</v>
      </c>
      <c r="J358" t="str">
        <f t="shared" si="41"/>
        <v>081205</v>
      </c>
      <c r="K358" t="s">
        <v>22</v>
      </c>
      <c r="L358" t="s">
        <v>23</v>
      </c>
      <c r="M358" t="str">
        <f t="shared" si="37"/>
        <v>1</v>
      </c>
      <c r="O358" t="str">
        <f>CONCATENATE("3 ","")</f>
        <v xml:space="preserve">3 </v>
      </c>
      <c r="P358">
        <v>21.1</v>
      </c>
      <c r="Q358" t="s">
        <v>24</v>
      </c>
    </row>
    <row r="359" spans="1:17" x14ac:dyDescent="0.25">
      <c r="A359" t="s">
        <v>17</v>
      </c>
      <c r="B359" s="1">
        <v>41718</v>
      </c>
      <c r="C359" t="s">
        <v>486</v>
      </c>
      <c r="D359" t="str">
        <f>CONCATENATE("0060013627","")</f>
        <v>0060013627</v>
      </c>
      <c r="E359" t="str">
        <f>CONCATENATE("0120427000120       ","")</f>
        <v xml:space="preserve">0120427000120       </v>
      </c>
      <c r="F359" t="str">
        <f>CONCATENATE("605621922","")</f>
        <v>605621922</v>
      </c>
      <c r="G359" t="s">
        <v>681</v>
      </c>
      <c r="H359" t="s">
        <v>684</v>
      </c>
      <c r="I359" t="s">
        <v>683</v>
      </c>
      <c r="J359" t="str">
        <f t="shared" si="41"/>
        <v>081205</v>
      </c>
      <c r="K359" t="s">
        <v>22</v>
      </c>
      <c r="L359" t="s">
        <v>23</v>
      </c>
      <c r="M359" t="str">
        <f t="shared" si="37"/>
        <v>1</v>
      </c>
      <c r="O359" t="str">
        <f>CONCATENATE("1 ","")</f>
        <v xml:space="preserve">1 </v>
      </c>
      <c r="P359">
        <v>13.75</v>
      </c>
      <c r="Q359" t="s">
        <v>24</v>
      </c>
    </row>
    <row r="360" spans="1:17" x14ac:dyDescent="0.25">
      <c r="A360" t="s">
        <v>17</v>
      </c>
      <c r="B360" s="1">
        <v>41718</v>
      </c>
      <c r="C360" t="s">
        <v>486</v>
      </c>
      <c r="D360" t="str">
        <f>CONCATENATE("0060013611","")</f>
        <v>0060013611</v>
      </c>
      <c r="E360" t="str">
        <f>CONCATENATE("0120427000170       ","")</f>
        <v xml:space="preserve">0120427000170       </v>
      </c>
      <c r="F360" t="str">
        <f>CONCATENATE("605622424","")</f>
        <v>605622424</v>
      </c>
      <c r="G360" t="s">
        <v>681</v>
      </c>
      <c r="H360" t="s">
        <v>685</v>
      </c>
      <c r="I360" t="s">
        <v>683</v>
      </c>
      <c r="J360" t="str">
        <f t="shared" si="41"/>
        <v>081205</v>
      </c>
      <c r="K360" t="s">
        <v>22</v>
      </c>
      <c r="L360" t="s">
        <v>23</v>
      </c>
      <c r="M360" t="str">
        <f t="shared" si="37"/>
        <v>1</v>
      </c>
      <c r="O360" t="str">
        <f>CONCATENATE("1 ","")</f>
        <v xml:space="preserve">1 </v>
      </c>
      <c r="P360">
        <v>28</v>
      </c>
      <c r="Q360" t="s">
        <v>24</v>
      </c>
    </row>
    <row r="361" spans="1:17" x14ac:dyDescent="0.25">
      <c r="A361" t="s">
        <v>17</v>
      </c>
      <c r="B361" s="1">
        <v>41718</v>
      </c>
      <c r="C361" t="s">
        <v>486</v>
      </c>
      <c r="D361" t="str">
        <f>CONCATENATE("0060014682","")</f>
        <v>0060014682</v>
      </c>
      <c r="E361" t="str">
        <f>CONCATENATE("0120428000030       ","")</f>
        <v xml:space="preserve">0120428000030       </v>
      </c>
      <c r="F361" t="str">
        <f>CONCATENATE("605931635","")</f>
        <v>605931635</v>
      </c>
      <c r="G361" t="s">
        <v>686</v>
      </c>
      <c r="H361" t="s">
        <v>687</v>
      </c>
      <c r="I361" t="s">
        <v>688</v>
      </c>
      <c r="J361" t="str">
        <f t="shared" si="41"/>
        <v>081205</v>
      </c>
      <c r="K361" t="s">
        <v>22</v>
      </c>
      <c r="L361" t="s">
        <v>23</v>
      </c>
      <c r="M361" t="str">
        <f t="shared" si="37"/>
        <v>1</v>
      </c>
      <c r="O361" t="str">
        <f>CONCATENATE("1 ","")</f>
        <v xml:space="preserve">1 </v>
      </c>
      <c r="P361">
        <v>11.6</v>
      </c>
      <c r="Q361" t="s">
        <v>24</v>
      </c>
    </row>
    <row r="362" spans="1:17" x14ac:dyDescent="0.25">
      <c r="A362" t="s">
        <v>17</v>
      </c>
      <c r="B362" s="1">
        <v>41718</v>
      </c>
      <c r="C362" t="s">
        <v>486</v>
      </c>
      <c r="D362" t="str">
        <f>CONCATENATE("0060014680","")</f>
        <v>0060014680</v>
      </c>
      <c r="E362" t="str">
        <f>CONCATENATE("0120428000040       ","")</f>
        <v xml:space="preserve">0120428000040       </v>
      </c>
      <c r="F362" t="str">
        <f>CONCATENATE("605940609","")</f>
        <v>605940609</v>
      </c>
      <c r="G362" t="s">
        <v>686</v>
      </c>
      <c r="H362" t="s">
        <v>689</v>
      </c>
      <c r="I362" t="s">
        <v>688</v>
      </c>
      <c r="J362" t="str">
        <f t="shared" si="41"/>
        <v>081205</v>
      </c>
      <c r="K362" t="s">
        <v>22</v>
      </c>
      <c r="L362" t="s">
        <v>23</v>
      </c>
      <c r="M362" t="str">
        <f t="shared" si="37"/>
        <v>1</v>
      </c>
      <c r="O362" t="str">
        <f>CONCATENATE("4 ","")</f>
        <v xml:space="preserve">4 </v>
      </c>
      <c r="P362">
        <v>25.9</v>
      </c>
      <c r="Q362" t="s">
        <v>24</v>
      </c>
    </row>
    <row r="363" spans="1:17" x14ac:dyDescent="0.25">
      <c r="A363" t="s">
        <v>17</v>
      </c>
      <c r="B363" s="1">
        <v>41718</v>
      </c>
      <c r="C363" t="s">
        <v>486</v>
      </c>
      <c r="D363" t="str">
        <f>CONCATENATE("0060014667","")</f>
        <v>0060014667</v>
      </c>
      <c r="E363" t="str">
        <f>CONCATENATE("0120428000100       ","")</f>
        <v xml:space="preserve">0120428000100       </v>
      </c>
      <c r="F363" t="str">
        <f>CONCATENATE("605940597","")</f>
        <v>605940597</v>
      </c>
      <c r="G363" t="s">
        <v>686</v>
      </c>
      <c r="H363" t="s">
        <v>690</v>
      </c>
      <c r="I363" t="s">
        <v>691</v>
      </c>
      <c r="J363" t="str">
        <f t="shared" si="41"/>
        <v>081205</v>
      </c>
      <c r="K363" t="s">
        <v>22</v>
      </c>
      <c r="L363" t="s">
        <v>23</v>
      </c>
      <c r="M363" t="str">
        <f t="shared" si="37"/>
        <v>1</v>
      </c>
      <c r="O363" t="str">
        <f t="shared" ref="O363:O377" si="42">CONCATENATE("1 ","")</f>
        <v xml:space="preserve">1 </v>
      </c>
      <c r="P363">
        <v>12</v>
      </c>
      <c r="Q363" t="s">
        <v>24</v>
      </c>
    </row>
    <row r="364" spans="1:17" x14ac:dyDescent="0.25">
      <c r="A364" t="s">
        <v>17</v>
      </c>
      <c r="B364" s="1">
        <v>41718</v>
      </c>
      <c r="C364" t="s">
        <v>486</v>
      </c>
      <c r="D364" t="str">
        <f>CONCATENATE("0060014668","")</f>
        <v>0060014668</v>
      </c>
      <c r="E364" t="str">
        <f>CONCATENATE("0120428000110       ","")</f>
        <v xml:space="preserve">0120428000110       </v>
      </c>
      <c r="F364" t="str">
        <f>CONCATENATE("605931638","")</f>
        <v>605931638</v>
      </c>
      <c r="G364" t="s">
        <v>686</v>
      </c>
      <c r="H364" t="s">
        <v>692</v>
      </c>
      <c r="I364" t="s">
        <v>691</v>
      </c>
      <c r="J364" t="str">
        <f t="shared" si="41"/>
        <v>081205</v>
      </c>
      <c r="K364" t="s">
        <v>22</v>
      </c>
      <c r="L364" t="s">
        <v>23</v>
      </c>
      <c r="M364" t="str">
        <f t="shared" si="37"/>
        <v>1</v>
      </c>
      <c r="O364" t="str">
        <f t="shared" si="42"/>
        <v xml:space="preserve">1 </v>
      </c>
      <c r="P364">
        <v>18.399999999999999</v>
      </c>
      <c r="Q364" t="s">
        <v>24</v>
      </c>
    </row>
    <row r="365" spans="1:17" x14ac:dyDescent="0.25">
      <c r="A365" t="s">
        <v>17</v>
      </c>
      <c r="B365" s="1">
        <v>41718</v>
      </c>
      <c r="C365" t="s">
        <v>486</v>
      </c>
      <c r="D365" t="str">
        <f>CONCATENATE("0060014672","")</f>
        <v>0060014672</v>
      </c>
      <c r="E365" t="str">
        <f>CONCATENATE("0120428000130       ","")</f>
        <v xml:space="preserve">0120428000130       </v>
      </c>
      <c r="F365" t="str">
        <f>CONCATENATE("605940599","")</f>
        <v>605940599</v>
      </c>
      <c r="G365" t="s">
        <v>686</v>
      </c>
      <c r="H365" t="s">
        <v>693</v>
      </c>
      <c r="I365" t="s">
        <v>691</v>
      </c>
      <c r="J365" t="str">
        <f t="shared" si="41"/>
        <v>081205</v>
      </c>
      <c r="K365" t="s">
        <v>22</v>
      </c>
      <c r="L365" t="s">
        <v>23</v>
      </c>
      <c r="M365" t="str">
        <f t="shared" si="37"/>
        <v>1</v>
      </c>
      <c r="O365" t="str">
        <f t="shared" si="42"/>
        <v xml:space="preserve">1 </v>
      </c>
      <c r="P365">
        <v>11.55</v>
      </c>
      <c r="Q365" t="s">
        <v>24</v>
      </c>
    </row>
    <row r="366" spans="1:17" x14ac:dyDescent="0.25">
      <c r="A366" t="s">
        <v>17</v>
      </c>
      <c r="B366" s="1">
        <v>41718</v>
      </c>
      <c r="C366" t="s">
        <v>486</v>
      </c>
      <c r="D366" t="str">
        <f>CONCATENATE("0060014660","")</f>
        <v>0060014660</v>
      </c>
      <c r="E366" t="str">
        <f>CONCATENATE("0120428000200       ","")</f>
        <v xml:space="preserve">0120428000200       </v>
      </c>
      <c r="F366" t="str">
        <f>CONCATENATE("605940620","")</f>
        <v>605940620</v>
      </c>
      <c r="G366" t="s">
        <v>686</v>
      </c>
      <c r="H366" t="s">
        <v>694</v>
      </c>
      <c r="I366" t="s">
        <v>691</v>
      </c>
      <c r="J366" t="str">
        <f t="shared" si="41"/>
        <v>081205</v>
      </c>
      <c r="K366" t="s">
        <v>22</v>
      </c>
      <c r="L366" t="s">
        <v>23</v>
      </c>
      <c r="M366" t="str">
        <f t="shared" si="37"/>
        <v>1</v>
      </c>
      <c r="O366" t="str">
        <f t="shared" si="42"/>
        <v xml:space="preserve">1 </v>
      </c>
      <c r="P366">
        <v>17.95</v>
      </c>
      <c r="Q366" t="s">
        <v>24</v>
      </c>
    </row>
    <row r="367" spans="1:17" x14ac:dyDescent="0.25">
      <c r="A367" t="s">
        <v>17</v>
      </c>
      <c r="B367" s="1">
        <v>41718</v>
      </c>
      <c r="C367" t="s">
        <v>486</v>
      </c>
      <c r="D367" t="str">
        <f>CONCATENATE("0060014661","")</f>
        <v>0060014661</v>
      </c>
      <c r="E367" t="str">
        <f>CONCATENATE("0120428000210       ","")</f>
        <v xml:space="preserve">0120428000210       </v>
      </c>
      <c r="F367" t="str">
        <f>CONCATENATE("605940602","")</f>
        <v>605940602</v>
      </c>
      <c r="G367" t="s">
        <v>686</v>
      </c>
      <c r="H367" t="s">
        <v>695</v>
      </c>
      <c r="I367" t="s">
        <v>691</v>
      </c>
      <c r="J367" t="str">
        <f t="shared" si="41"/>
        <v>081205</v>
      </c>
      <c r="K367" t="s">
        <v>22</v>
      </c>
      <c r="L367" t="s">
        <v>23</v>
      </c>
      <c r="M367" t="str">
        <f t="shared" si="37"/>
        <v>1</v>
      </c>
      <c r="O367" t="str">
        <f t="shared" si="42"/>
        <v xml:space="preserve">1 </v>
      </c>
      <c r="P367">
        <v>10.5</v>
      </c>
      <c r="Q367" t="s">
        <v>24</v>
      </c>
    </row>
    <row r="368" spans="1:17" x14ac:dyDescent="0.25">
      <c r="A368" t="s">
        <v>17</v>
      </c>
      <c r="B368" s="1">
        <v>41718</v>
      </c>
      <c r="C368" t="s">
        <v>486</v>
      </c>
      <c r="D368" t="str">
        <f>CONCATENATE("0060014663","")</f>
        <v>0060014663</v>
      </c>
      <c r="E368" t="str">
        <f>CONCATENATE("0120428000220       ","")</f>
        <v xml:space="preserve">0120428000220       </v>
      </c>
      <c r="F368" t="str">
        <f>CONCATENATE("605940592","")</f>
        <v>605940592</v>
      </c>
      <c r="G368" t="s">
        <v>686</v>
      </c>
      <c r="H368" t="s">
        <v>696</v>
      </c>
      <c r="I368" t="s">
        <v>691</v>
      </c>
      <c r="J368" t="str">
        <f t="shared" si="41"/>
        <v>081205</v>
      </c>
      <c r="K368" t="s">
        <v>22</v>
      </c>
      <c r="L368" t="s">
        <v>23</v>
      </c>
      <c r="M368" t="str">
        <f t="shared" si="37"/>
        <v>1</v>
      </c>
      <c r="O368" t="str">
        <f t="shared" si="42"/>
        <v xml:space="preserve">1 </v>
      </c>
      <c r="P368">
        <v>12.75</v>
      </c>
      <c r="Q368" t="s">
        <v>24</v>
      </c>
    </row>
    <row r="369" spans="1:17" x14ac:dyDescent="0.25">
      <c r="A369" t="s">
        <v>17</v>
      </c>
      <c r="B369" s="1">
        <v>41718</v>
      </c>
      <c r="C369" t="s">
        <v>486</v>
      </c>
      <c r="D369" t="str">
        <f>CONCATENATE("0060014662","")</f>
        <v>0060014662</v>
      </c>
      <c r="E369" t="str">
        <f>CONCATENATE("0120428000230       ","")</f>
        <v xml:space="preserve">0120428000230       </v>
      </c>
      <c r="F369" t="str">
        <f>CONCATENATE("605940616","")</f>
        <v>605940616</v>
      </c>
      <c r="G369" t="s">
        <v>686</v>
      </c>
      <c r="H369" t="s">
        <v>697</v>
      </c>
      <c r="I369" t="s">
        <v>691</v>
      </c>
      <c r="J369" t="str">
        <f t="shared" si="41"/>
        <v>081205</v>
      </c>
      <c r="K369" t="s">
        <v>22</v>
      </c>
      <c r="L369" t="s">
        <v>23</v>
      </c>
      <c r="M369" t="str">
        <f t="shared" si="37"/>
        <v>1</v>
      </c>
      <c r="O369" t="str">
        <f t="shared" si="42"/>
        <v xml:space="preserve">1 </v>
      </c>
      <c r="P369">
        <v>10.5</v>
      </c>
      <c r="Q369" t="s">
        <v>24</v>
      </c>
    </row>
    <row r="370" spans="1:17" x14ac:dyDescent="0.25">
      <c r="A370" t="s">
        <v>17</v>
      </c>
      <c r="B370" s="1">
        <v>41718</v>
      </c>
      <c r="C370" t="s">
        <v>486</v>
      </c>
      <c r="D370" t="str">
        <f>CONCATENATE("0060014657","")</f>
        <v>0060014657</v>
      </c>
      <c r="E370" t="str">
        <f>CONCATENATE("0120428000260       ","")</f>
        <v xml:space="preserve">0120428000260       </v>
      </c>
      <c r="F370" t="str">
        <f>CONCATENATE("605940614","")</f>
        <v>605940614</v>
      </c>
      <c r="G370" t="s">
        <v>686</v>
      </c>
      <c r="H370" t="s">
        <v>698</v>
      </c>
      <c r="I370" t="s">
        <v>691</v>
      </c>
      <c r="J370" t="str">
        <f t="shared" si="41"/>
        <v>081205</v>
      </c>
      <c r="K370" t="s">
        <v>22</v>
      </c>
      <c r="L370" t="s">
        <v>23</v>
      </c>
      <c r="M370" t="str">
        <f t="shared" ref="M370:M392" si="43">CONCATENATE("1","")</f>
        <v>1</v>
      </c>
      <c r="O370" t="str">
        <f t="shared" si="42"/>
        <v xml:space="preserve">1 </v>
      </c>
      <c r="P370">
        <v>15.55</v>
      </c>
      <c r="Q370" t="s">
        <v>24</v>
      </c>
    </row>
    <row r="371" spans="1:17" x14ac:dyDescent="0.25">
      <c r="A371" t="s">
        <v>17</v>
      </c>
      <c r="B371" s="1">
        <v>41718</v>
      </c>
      <c r="C371" t="s">
        <v>486</v>
      </c>
      <c r="D371" t="str">
        <f>CONCATENATE("0060016340","")</f>
        <v>0060016340</v>
      </c>
      <c r="E371" t="str">
        <f>CONCATENATE("0120430000150       ","")</f>
        <v xml:space="preserve">0120430000150       </v>
      </c>
      <c r="F371" t="str">
        <f>CONCATENATE("1937664","")</f>
        <v>1937664</v>
      </c>
      <c r="G371" t="s">
        <v>699</v>
      </c>
      <c r="H371" t="s">
        <v>700</v>
      </c>
      <c r="I371" t="s">
        <v>701</v>
      </c>
      <c r="J371" t="str">
        <f t="shared" si="41"/>
        <v>081205</v>
      </c>
      <c r="K371" t="s">
        <v>22</v>
      </c>
      <c r="L371" t="s">
        <v>23</v>
      </c>
      <c r="M371" t="str">
        <f t="shared" si="43"/>
        <v>1</v>
      </c>
      <c r="O371" t="str">
        <f t="shared" si="42"/>
        <v xml:space="preserve">1 </v>
      </c>
      <c r="P371">
        <v>11.4</v>
      </c>
      <c r="Q371" t="s">
        <v>24</v>
      </c>
    </row>
    <row r="372" spans="1:17" x14ac:dyDescent="0.25">
      <c r="A372" t="s">
        <v>17</v>
      </c>
      <c r="B372" s="1">
        <v>41718</v>
      </c>
      <c r="C372" t="s">
        <v>486</v>
      </c>
      <c r="D372" t="str">
        <f>CONCATENATE("0060016992","")</f>
        <v>0060016992</v>
      </c>
      <c r="E372" t="str">
        <f>CONCATENATE("0120431000090       ","")</f>
        <v xml:space="preserve">0120431000090       </v>
      </c>
      <c r="F372" t="str">
        <f>CONCATENATE("1235783","")</f>
        <v>1235783</v>
      </c>
      <c r="G372" t="s">
        <v>702</v>
      </c>
      <c r="H372" t="s">
        <v>703</v>
      </c>
      <c r="I372" t="s">
        <v>704</v>
      </c>
      <c r="J372" t="str">
        <f t="shared" si="41"/>
        <v>081205</v>
      </c>
      <c r="K372" t="s">
        <v>22</v>
      </c>
      <c r="L372" t="s">
        <v>23</v>
      </c>
      <c r="M372" t="str">
        <f t="shared" si="43"/>
        <v>1</v>
      </c>
      <c r="O372" t="str">
        <f t="shared" si="42"/>
        <v xml:space="preserve">1 </v>
      </c>
      <c r="P372">
        <v>19.149999999999999</v>
      </c>
      <c r="Q372" t="s">
        <v>24</v>
      </c>
    </row>
    <row r="373" spans="1:17" x14ac:dyDescent="0.25">
      <c r="A373" t="s">
        <v>17</v>
      </c>
      <c r="B373" s="1">
        <v>41718</v>
      </c>
      <c r="C373" t="s">
        <v>486</v>
      </c>
      <c r="D373" t="str">
        <f>CONCATENATE("0060016994","")</f>
        <v>0060016994</v>
      </c>
      <c r="E373" t="str">
        <f>CONCATENATE("0120431000110       ","")</f>
        <v xml:space="preserve">0120431000110       </v>
      </c>
      <c r="F373" t="str">
        <f>CONCATENATE("1235772","")</f>
        <v>1235772</v>
      </c>
      <c r="G373" t="s">
        <v>702</v>
      </c>
      <c r="H373" t="s">
        <v>705</v>
      </c>
      <c r="I373" t="s">
        <v>704</v>
      </c>
      <c r="J373" t="str">
        <f t="shared" si="41"/>
        <v>081205</v>
      </c>
      <c r="K373" t="s">
        <v>22</v>
      </c>
      <c r="L373" t="s">
        <v>23</v>
      </c>
      <c r="M373" t="str">
        <f t="shared" si="43"/>
        <v>1</v>
      </c>
      <c r="O373" t="str">
        <f t="shared" si="42"/>
        <v xml:space="preserve">1 </v>
      </c>
      <c r="P373">
        <v>18.149999999999999</v>
      </c>
      <c r="Q373" t="s">
        <v>24</v>
      </c>
    </row>
    <row r="374" spans="1:17" x14ac:dyDescent="0.25">
      <c r="A374" t="s">
        <v>17</v>
      </c>
      <c r="B374" s="1">
        <v>41718</v>
      </c>
      <c r="C374" t="s">
        <v>486</v>
      </c>
      <c r="D374" t="str">
        <f>CONCATENATE("0060017003","")</f>
        <v>0060017003</v>
      </c>
      <c r="E374" t="str">
        <f>CONCATENATE("0120431000360       ","")</f>
        <v xml:space="preserve">0120431000360       </v>
      </c>
      <c r="F374" t="str">
        <f>CONCATENATE("1235791","")</f>
        <v>1235791</v>
      </c>
      <c r="G374" t="s">
        <v>702</v>
      </c>
      <c r="H374" t="s">
        <v>706</v>
      </c>
      <c r="I374" t="s">
        <v>704</v>
      </c>
      <c r="J374" t="str">
        <f t="shared" si="41"/>
        <v>081205</v>
      </c>
      <c r="K374" t="s">
        <v>22</v>
      </c>
      <c r="L374" t="s">
        <v>23</v>
      </c>
      <c r="M374" t="str">
        <f t="shared" si="43"/>
        <v>1</v>
      </c>
      <c r="O374" t="str">
        <f t="shared" si="42"/>
        <v xml:space="preserve">1 </v>
      </c>
      <c r="P374">
        <v>17.100000000000001</v>
      </c>
      <c r="Q374" t="s">
        <v>24</v>
      </c>
    </row>
    <row r="375" spans="1:17" x14ac:dyDescent="0.25">
      <c r="A375" t="s">
        <v>17</v>
      </c>
      <c r="B375" s="1">
        <v>41718</v>
      </c>
      <c r="C375" t="s">
        <v>140</v>
      </c>
      <c r="D375" t="str">
        <f>CONCATENATE("0060017053","")</f>
        <v>0060017053</v>
      </c>
      <c r="E375" t="str">
        <f>CONCATENATE("0120434000030       ","")</f>
        <v xml:space="preserve">0120434000030       </v>
      </c>
      <c r="F375" t="str">
        <f>CONCATENATE("1235858","")</f>
        <v>1235858</v>
      </c>
      <c r="G375" t="s">
        <v>601</v>
      </c>
      <c r="H375" t="s">
        <v>707</v>
      </c>
      <c r="I375" t="s">
        <v>708</v>
      </c>
      <c r="J375" t="str">
        <f>CONCATENATE("081201","")</f>
        <v>081201</v>
      </c>
      <c r="K375" t="s">
        <v>22</v>
      </c>
      <c r="L375" t="s">
        <v>23</v>
      </c>
      <c r="M375" t="str">
        <f t="shared" si="43"/>
        <v>1</v>
      </c>
      <c r="O375" t="str">
        <f t="shared" si="42"/>
        <v xml:space="preserve">1 </v>
      </c>
      <c r="P375">
        <v>21.4</v>
      </c>
      <c r="Q375" t="s">
        <v>24</v>
      </c>
    </row>
    <row r="376" spans="1:17" x14ac:dyDescent="0.25">
      <c r="A376" t="s">
        <v>17</v>
      </c>
      <c r="B376" s="1">
        <v>41718</v>
      </c>
      <c r="C376" t="s">
        <v>140</v>
      </c>
      <c r="D376" t="str">
        <f>CONCATENATE("0060017054","")</f>
        <v>0060017054</v>
      </c>
      <c r="E376" t="str">
        <f>CONCATENATE("0120434000040       ","")</f>
        <v xml:space="preserve">0120434000040       </v>
      </c>
      <c r="F376" t="str">
        <f>CONCATENATE("1235859","")</f>
        <v>1235859</v>
      </c>
      <c r="G376" t="s">
        <v>601</v>
      </c>
      <c r="H376" t="s">
        <v>709</v>
      </c>
      <c r="I376" t="s">
        <v>708</v>
      </c>
      <c r="J376" t="str">
        <f>CONCATENATE("081201","")</f>
        <v>081201</v>
      </c>
      <c r="K376" t="s">
        <v>22</v>
      </c>
      <c r="L376" t="s">
        <v>23</v>
      </c>
      <c r="M376" t="str">
        <f t="shared" si="43"/>
        <v>1</v>
      </c>
      <c r="O376" t="str">
        <f t="shared" si="42"/>
        <v xml:space="preserve">1 </v>
      </c>
      <c r="P376">
        <v>13.2</v>
      </c>
      <c r="Q376" t="s">
        <v>24</v>
      </c>
    </row>
    <row r="377" spans="1:17" x14ac:dyDescent="0.25">
      <c r="A377" t="s">
        <v>17</v>
      </c>
      <c r="B377" s="1">
        <v>41718</v>
      </c>
      <c r="C377" t="s">
        <v>140</v>
      </c>
      <c r="D377" t="str">
        <f>CONCATENATE("0060017064","")</f>
        <v>0060017064</v>
      </c>
      <c r="E377" t="str">
        <f>CONCATENATE("0120434000225       ","")</f>
        <v xml:space="preserve">0120434000225       </v>
      </c>
      <c r="F377" t="str">
        <f>CONCATENATE("1235307","")</f>
        <v>1235307</v>
      </c>
      <c r="G377" t="s">
        <v>601</v>
      </c>
      <c r="H377" t="s">
        <v>710</v>
      </c>
      <c r="I377" t="s">
        <v>708</v>
      </c>
      <c r="J377" t="str">
        <f>CONCATENATE("081201","")</f>
        <v>081201</v>
      </c>
      <c r="K377" t="s">
        <v>22</v>
      </c>
      <c r="L377" t="s">
        <v>23</v>
      </c>
      <c r="M377" t="str">
        <f t="shared" si="43"/>
        <v>1</v>
      </c>
      <c r="O377" t="str">
        <f t="shared" si="42"/>
        <v xml:space="preserve">1 </v>
      </c>
      <c r="P377">
        <v>16.2</v>
      </c>
      <c r="Q377" t="s">
        <v>24</v>
      </c>
    </row>
    <row r="378" spans="1:17" x14ac:dyDescent="0.25">
      <c r="A378" t="s">
        <v>17</v>
      </c>
      <c r="B378" s="1">
        <v>41718</v>
      </c>
      <c r="C378" t="s">
        <v>486</v>
      </c>
      <c r="D378" t="str">
        <f>CONCATENATE("0060017065","")</f>
        <v>0060017065</v>
      </c>
      <c r="E378" t="str">
        <f>CONCATENATE("0120435000010       ","")</f>
        <v xml:space="preserve">0120435000010       </v>
      </c>
      <c r="F378" t="str">
        <f>CONCATENATE("1236627","")</f>
        <v>1236627</v>
      </c>
      <c r="G378" t="s">
        <v>601</v>
      </c>
      <c r="H378" t="s">
        <v>711</v>
      </c>
      <c r="I378" t="s">
        <v>712</v>
      </c>
      <c r="J378" t="str">
        <f>CONCATENATE("081205","")</f>
        <v>081205</v>
      </c>
      <c r="K378" t="s">
        <v>22</v>
      </c>
      <c r="L378" t="s">
        <v>23</v>
      </c>
      <c r="M378" t="str">
        <f t="shared" si="43"/>
        <v>1</v>
      </c>
      <c r="O378" t="str">
        <f>CONCATENATE("3 ","")</f>
        <v xml:space="preserve">3 </v>
      </c>
      <c r="P378">
        <v>25.6</v>
      </c>
      <c r="Q378" t="s">
        <v>24</v>
      </c>
    </row>
    <row r="379" spans="1:17" x14ac:dyDescent="0.25">
      <c r="A379" t="s">
        <v>17</v>
      </c>
      <c r="B379" s="1">
        <v>41718</v>
      </c>
      <c r="C379" t="s">
        <v>140</v>
      </c>
      <c r="D379" t="str">
        <f>CONCATENATE("0060017095","")</f>
        <v>0060017095</v>
      </c>
      <c r="E379" t="str">
        <f>CONCATENATE("0120436000215       ","")</f>
        <v xml:space="preserve">0120436000215       </v>
      </c>
      <c r="F379" t="str">
        <f>CONCATENATE("1235729","")</f>
        <v>1235729</v>
      </c>
      <c r="G379" t="s">
        <v>601</v>
      </c>
      <c r="H379" t="s">
        <v>713</v>
      </c>
      <c r="I379" t="s">
        <v>714</v>
      </c>
      <c r="J379" t="str">
        <f>CONCATENATE("081201","")</f>
        <v>081201</v>
      </c>
      <c r="K379" t="s">
        <v>22</v>
      </c>
      <c r="L379" t="s">
        <v>23</v>
      </c>
      <c r="M379" t="str">
        <f t="shared" si="43"/>
        <v>1</v>
      </c>
      <c r="O379" t="str">
        <f>CONCATENATE("1 ","")</f>
        <v xml:space="preserve">1 </v>
      </c>
      <c r="P379">
        <v>25.2</v>
      </c>
      <c r="Q379" t="s">
        <v>24</v>
      </c>
    </row>
    <row r="380" spans="1:17" x14ac:dyDescent="0.25">
      <c r="A380" t="s">
        <v>17</v>
      </c>
      <c r="B380" s="1">
        <v>41718</v>
      </c>
      <c r="C380" t="s">
        <v>486</v>
      </c>
      <c r="D380" t="str">
        <f>CONCATENATE("0060017114","")</f>
        <v>0060017114</v>
      </c>
      <c r="E380" t="str">
        <f>CONCATENATE("0120438000010       ","")</f>
        <v xml:space="preserve">0120438000010       </v>
      </c>
      <c r="F380" t="str">
        <f>CONCATENATE("1235851","")</f>
        <v>1235851</v>
      </c>
      <c r="G380" t="s">
        <v>601</v>
      </c>
      <c r="H380" t="s">
        <v>715</v>
      </c>
      <c r="I380" t="s">
        <v>716</v>
      </c>
      <c r="J380" t="str">
        <f t="shared" ref="J380:J426" si="44">CONCATENATE("081205","")</f>
        <v>081205</v>
      </c>
      <c r="K380" t="s">
        <v>22</v>
      </c>
      <c r="L380" t="s">
        <v>23</v>
      </c>
      <c r="M380" t="str">
        <f t="shared" si="43"/>
        <v>1</v>
      </c>
      <c r="O380" t="str">
        <f>CONCATENATE("1 ","")</f>
        <v xml:space="preserve">1 </v>
      </c>
      <c r="P380">
        <v>12.85</v>
      </c>
      <c r="Q380" t="s">
        <v>24</v>
      </c>
    </row>
    <row r="381" spans="1:17" x14ac:dyDescent="0.25">
      <c r="A381" t="s">
        <v>17</v>
      </c>
      <c r="B381" s="1">
        <v>41718</v>
      </c>
      <c r="C381" t="s">
        <v>486</v>
      </c>
      <c r="D381" t="str">
        <f>CONCATENATE("0060017115","")</f>
        <v>0060017115</v>
      </c>
      <c r="E381" t="str">
        <f>CONCATENATE("0120438000020       ","")</f>
        <v xml:space="preserve">0120438000020       </v>
      </c>
      <c r="F381" t="str">
        <f>CONCATENATE("1235844","")</f>
        <v>1235844</v>
      </c>
      <c r="G381" t="s">
        <v>601</v>
      </c>
      <c r="H381" t="s">
        <v>717</v>
      </c>
      <c r="I381" t="s">
        <v>716</v>
      </c>
      <c r="J381" t="str">
        <f t="shared" si="44"/>
        <v>081205</v>
      </c>
      <c r="K381" t="s">
        <v>22</v>
      </c>
      <c r="L381" t="s">
        <v>23</v>
      </c>
      <c r="M381" t="str">
        <f t="shared" si="43"/>
        <v>1</v>
      </c>
      <c r="O381" t="str">
        <f>CONCATENATE("1 ","")</f>
        <v xml:space="preserve">1 </v>
      </c>
      <c r="P381">
        <v>17.75</v>
      </c>
      <c r="Q381" t="s">
        <v>24</v>
      </c>
    </row>
    <row r="382" spans="1:17" x14ac:dyDescent="0.25">
      <c r="A382" t="s">
        <v>17</v>
      </c>
      <c r="B382" s="1">
        <v>41718</v>
      </c>
      <c r="C382" t="s">
        <v>486</v>
      </c>
      <c r="D382" t="str">
        <f>CONCATENATE("0060017118","")</f>
        <v>0060017118</v>
      </c>
      <c r="E382" t="str">
        <f>CONCATENATE("0120438000050       ","")</f>
        <v xml:space="preserve">0120438000050       </v>
      </c>
      <c r="F382" t="str">
        <f>CONCATENATE("1235742","")</f>
        <v>1235742</v>
      </c>
      <c r="G382" t="s">
        <v>601</v>
      </c>
      <c r="H382" t="s">
        <v>718</v>
      </c>
      <c r="I382" t="s">
        <v>716</v>
      </c>
      <c r="J382" t="str">
        <f t="shared" si="44"/>
        <v>081205</v>
      </c>
      <c r="K382" t="s">
        <v>22</v>
      </c>
      <c r="L382" t="s">
        <v>23</v>
      </c>
      <c r="M382" t="str">
        <f t="shared" si="43"/>
        <v>1</v>
      </c>
      <c r="O382" t="str">
        <f>CONCATENATE("4 ","")</f>
        <v xml:space="preserve">4 </v>
      </c>
      <c r="P382">
        <v>30.15</v>
      </c>
      <c r="Q382" t="s">
        <v>24</v>
      </c>
    </row>
    <row r="383" spans="1:17" x14ac:dyDescent="0.25">
      <c r="A383" t="s">
        <v>17</v>
      </c>
      <c r="B383" s="1">
        <v>41718</v>
      </c>
      <c r="C383" t="s">
        <v>486</v>
      </c>
      <c r="D383" t="str">
        <f>CONCATENATE("0060017119","")</f>
        <v>0060017119</v>
      </c>
      <c r="E383" t="str">
        <f>CONCATENATE("0120438000060       ","")</f>
        <v xml:space="preserve">0120438000060       </v>
      </c>
      <c r="F383" t="str">
        <f>CONCATENATE("1235841","")</f>
        <v>1235841</v>
      </c>
      <c r="G383" t="s">
        <v>601</v>
      </c>
      <c r="H383" t="s">
        <v>719</v>
      </c>
      <c r="I383" t="s">
        <v>716</v>
      </c>
      <c r="J383" t="str">
        <f t="shared" si="44"/>
        <v>081205</v>
      </c>
      <c r="K383" t="s">
        <v>22</v>
      </c>
      <c r="L383" t="s">
        <v>23</v>
      </c>
      <c r="M383" t="str">
        <f t="shared" si="43"/>
        <v>1</v>
      </c>
      <c r="O383" t="str">
        <f>CONCATENATE("1 ","")</f>
        <v xml:space="preserve">1 </v>
      </c>
      <c r="P383">
        <v>12.85</v>
      </c>
      <c r="Q383" t="s">
        <v>24</v>
      </c>
    </row>
    <row r="384" spans="1:17" x14ac:dyDescent="0.25">
      <c r="A384" t="s">
        <v>17</v>
      </c>
      <c r="B384" s="1">
        <v>41718</v>
      </c>
      <c r="C384" t="s">
        <v>486</v>
      </c>
      <c r="D384" t="str">
        <f>CONCATENATE("0060017121","")</f>
        <v>0060017121</v>
      </c>
      <c r="E384" t="str">
        <f>CONCATENATE("0120438000080       ","")</f>
        <v xml:space="preserve">0120438000080       </v>
      </c>
      <c r="F384" t="str">
        <f>CONCATENATE("1235738","")</f>
        <v>1235738</v>
      </c>
      <c r="G384" t="s">
        <v>601</v>
      </c>
      <c r="H384" t="s">
        <v>720</v>
      </c>
      <c r="I384" t="s">
        <v>716</v>
      </c>
      <c r="J384" t="str">
        <f t="shared" si="44"/>
        <v>081205</v>
      </c>
      <c r="K384" t="s">
        <v>22</v>
      </c>
      <c r="L384" t="s">
        <v>23</v>
      </c>
      <c r="M384" t="str">
        <f t="shared" si="43"/>
        <v>1</v>
      </c>
      <c r="O384" t="str">
        <f>CONCATENATE("2 ","")</f>
        <v xml:space="preserve">2 </v>
      </c>
      <c r="P384">
        <v>30.1</v>
      </c>
      <c r="Q384" t="s">
        <v>24</v>
      </c>
    </row>
    <row r="385" spans="1:17" x14ac:dyDescent="0.25">
      <c r="A385" t="s">
        <v>17</v>
      </c>
      <c r="B385" s="1">
        <v>41718</v>
      </c>
      <c r="C385" t="s">
        <v>486</v>
      </c>
      <c r="D385" t="str">
        <f>CONCATENATE("0060017124","")</f>
        <v>0060017124</v>
      </c>
      <c r="E385" t="str">
        <f>CONCATENATE("0120438000210       ","")</f>
        <v xml:space="preserve">0120438000210       </v>
      </c>
      <c r="F385" t="str">
        <f>CONCATENATE("1235741","")</f>
        <v>1235741</v>
      </c>
      <c r="G385" t="s">
        <v>601</v>
      </c>
      <c r="H385" t="s">
        <v>721</v>
      </c>
      <c r="I385" t="s">
        <v>716</v>
      </c>
      <c r="J385" t="str">
        <f t="shared" si="44"/>
        <v>081205</v>
      </c>
      <c r="K385" t="s">
        <v>22</v>
      </c>
      <c r="L385" t="s">
        <v>23</v>
      </c>
      <c r="M385" t="str">
        <f t="shared" si="43"/>
        <v>1</v>
      </c>
      <c r="O385" t="str">
        <f>CONCATENATE("1 ","")</f>
        <v xml:space="preserve">1 </v>
      </c>
      <c r="P385">
        <v>19.05</v>
      </c>
      <c r="Q385" t="s">
        <v>24</v>
      </c>
    </row>
    <row r="386" spans="1:17" x14ac:dyDescent="0.25">
      <c r="A386" t="s">
        <v>17</v>
      </c>
      <c r="B386" s="1">
        <v>41718</v>
      </c>
      <c r="C386" t="s">
        <v>486</v>
      </c>
      <c r="D386" t="str">
        <f>CONCATENATE("0060017127","")</f>
        <v>0060017127</v>
      </c>
      <c r="E386" t="str">
        <f>CONCATENATE("0120438000225       ","")</f>
        <v xml:space="preserve">0120438000225       </v>
      </c>
      <c r="F386" t="str">
        <f>CONCATENATE("1235695","")</f>
        <v>1235695</v>
      </c>
      <c r="G386" t="s">
        <v>601</v>
      </c>
      <c r="H386" t="s">
        <v>722</v>
      </c>
      <c r="I386" t="s">
        <v>716</v>
      </c>
      <c r="J386" t="str">
        <f t="shared" si="44"/>
        <v>081205</v>
      </c>
      <c r="K386" t="s">
        <v>22</v>
      </c>
      <c r="L386" t="s">
        <v>23</v>
      </c>
      <c r="M386" t="str">
        <f t="shared" si="43"/>
        <v>1</v>
      </c>
      <c r="O386" t="str">
        <f>CONCATENATE("7 ","")</f>
        <v xml:space="preserve">7 </v>
      </c>
      <c r="P386">
        <v>44.1</v>
      </c>
      <c r="Q386" t="s">
        <v>24</v>
      </c>
    </row>
    <row r="387" spans="1:17" x14ac:dyDescent="0.25">
      <c r="A387" t="s">
        <v>17</v>
      </c>
      <c r="B387" s="1">
        <v>41718</v>
      </c>
      <c r="C387" t="s">
        <v>486</v>
      </c>
      <c r="D387" t="str">
        <f>CONCATENATE("0060017130","")</f>
        <v>0060017130</v>
      </c>
      <c r="E387" t="str">
        <f>CONCATENATE("0120438000240       ","")</f>
        <v xml:space="preserve">0120438000240       </v>
      </c>
      <c r="F387" t="str">
        <f>CONCATENATE("1235847","")</f>
        <v>1235847</v>
      </c>
      <c r="G387" t="s">
        <v>601</v>
      </c>
      <c r="H387" t="s">
        <v>723</v>
      </c>
      <c r="I387" t="s">
        <v>716</v>
      </c>
      <c r="J387" t="str">
        <f t="shared" si="44"/>
        <v>081205</v>
      </c>
      <c r="K387" t="s">
        <v>22</v>
      </c>
      <c r="L387" t="s">
        <v>23</v>
      </c>
      <c r="M387" t="str">
        <f t="shared" si="43"/>
        <v>1</v>
      </c>
      <c r="O387" t="str">
        <f>CONCATENATE("1 ","")</f>
        <v xml:space="preserve">1 </v>
      </c>
      <c r="P387">
        <v>13.85</v>
      </c>
      <c r="Q387" t="s">
        <v>24</v>
      </c>
    </row>
    <row r="388" spans="1:17" x14ac:dyDescent="0.25">
      <c r="A388" t="s">
        <v>17</v>
      </c>
      <c r="B388" s="1">
        <v>41718</v>
      </c>
      <c r="C388" t="s">
        <v>486</v>
      </c>
      <c r="D388" t="str">
        <f>CONCATENATE("0060017889","")</f>
        <v>0060017889</v>
      </c>
      <c r="E388" t="str">
        <f>CONCATENATE("0120439000170       ","")</f>
        <v xml:space="preserve">0120439000170       </v>
      </c>
      <c r="F388" t="str">
        <f>CONCATENATE("1234774","")</f>
        <v>1234774</v>
      </c>
      <c r="G388" t="s">
        <v>601</v>
      </c>
      <c r="H388" t="s">
        <v>600</v>
      </c>
      <c r="I388" t="s">
        <v>724</v>
      </c>
      <c r="J388" t="str">
        <f t="shared" si="44"/>
        <v>081205</v>
      </c>
      <c r="K388" t="s">
        <v>22</v>
      </c>
      <c r="L388" t="s">
        <v>23</v>
      </c>
      <c r="M388" t="str">
        <f t="shared" si="43"/>
        <v>1</v>
      </c>
      <c r="O388" t="str">
        <f>CONCATENATE("1 ","")</f>
        <v xml:space="preserve">1 </v>
      </c>
      <c r="P388">
        <v>26.35</v>
      </c>
      <c r="Q388" t="s">
        <v>24</v>
      </c>
    </row>
    <row r="389" spans="1:17" x14ac:dyDescent="0.25">
      <c r="A389" t="s">
        <v>17</v>
      </c>
      <c r="B389" s="1">
        <v>41718</v>
      </c>
      <c r="C389" t="s">
        <v>486</v>
      </c>
      <c r="D389" t="str">
        <f>CONCATENATE("0060017894","")</f>
        <v>0060017894</v>
      </c>
      <c r="E389" t="str">
        <f>CONCATENATE("0120439000220       ","")</f>
        <v xml:space="preserve">0120439000220       </v>
      </c>
      <c r="F389" t="str">
        <f>CONCATENATE("1234761","")</f>
        <v>1234761</v>
      </c>
      <c r="G389" t="s">
        <v>601</v>
      </c>
      <c r="H389" t="s">
        <v>725</v>
      </c>
      <c r="I389" t="s">
        <v>724</v>
      </c>
      <c r="J389" t="str">
        <f t="shared" si="44"/>
        <v>081205</v>
      </c>
      <c r="K389" t="s">
        <v>22</v>
      </c>
      <c r="L389" t="s">
        <v>23</v>
      </c>
      <c r="M389" t="str">
        <f t="shared" si="43"/>
        <v>1</v>
      </c>
      <c r="O389" t="str">
        <f>CONCATENATE("2 ","")</f>
        <v xml:space="preserve">2 </v>
      </c>
      <c r="P389">
        <v>21.6</v>
      </c>
      <c r="Q389" t="s">
        <v>24</v>
      </c>
    </row>
    <row r="390" spans="1:17" x14ac:dyDescent="0.25">
      <c r="A390" t="s">
        <v>17</v>
      </c>
      <c r="B390" s="1">
        <v>41718</v>
      </c>
      <c r="C390" t="s">
        <v>486</v>
      </c>
      <c r="D390" t="str">
        <f>CONCATENATE("0060011786","")</f>
        <v>0060011786</v>
      </c>
      <c r="E390" t="str">
        <f>CONCATENATE("0120501000275       ","")</f>
        <v xml:space="preserve">0120501000275       </v>
      </c>
      <c r="F390" t="str">
        <f>CONCATENATE("605113837","")</f>
        <v>605113837</v>
      </c>
      <c r="G390" t="s">
        <v>726</v>
      </c>
      <c r="H390" t="s">
        <v>727</v>
      </c>
      <c r="I390" t="s">
        <v>728</v>
      </c>
      <c r="J390" t="str">
        <f t="shared" si="44"/>
        <v>081205</v>
      </c>
      <c r="K390" t="s">
        <v>22</v>
      </c>
      <c r="L390" t="s">
        <v>23</v>
      </c>
      <c r="M390" t="str">
        <f t="shared" si="43"/>
        <v>1</v>
      </c>
      <c r="O390" t="str">
        <f t="shared" ref="O390:O398" si="45">CONCATENATE("1 ","")</f>
        <v xml:space="preserve">1 </v>
      </c>
      <c r="P390">
        <v>70.5</v>
      </c>
      <c r="Q390" t="s">
        <v>24</v>
      </c>
    </row>
    <row r="391" spans="1:17" x14ac:dyDescent="0.25">
      <c r="A391" t="s">
        <v>17</v>
      </c>
      <c r="B391" s="1">
        <v>41718</v>
      </c>
      <c r="C391" t="s">
        <v>486</v>
      </c>
      <c r="D391" t="str">
        <f>CONCATENATE("0060003262","")</f>
        <v>0060003262</v>
      </c>
      <c r="E391" t="str">
        <f>CONCATENATE("0120501000350       ","")</f>
        <v xml:space="preserve">0120501000350       </v>
      </c>
      <c r="F391" t="str">
        <f>CONCATENATE("2129367","")</f>
        <v>2129367</v>
      </c>
      <c r="G391" t="s">
        <v>726</v>
      </c>
      <c r="H391" t="s">
        <v>729</v>
      </c>
      <c r="I391" t="s">
        <v>730</v>
      </c>
      <c r="J391" t="str">
        <f t="shared" si="44"/>
        <v>081205</v>
      </c>
      <c r="K391" t="s">
        <v>22</v>
      </c>
      <c r="L391" t="s">
        <v>23</v>
      </c>
      <c r="M391" t="str">
        <f t="shared" si="43"/>
        <v>1</v>
      </c>
      <c r="O391" t="str">
        <f t="shared" si="45"/>
        <v xml:space="preserve">1 </v>
      </c>
      <c r="P391">
        <v>35.700000000000003</v>
      </c>
      <c r="Q391" t="s">
        <v>24</v>
      </c>
    </row>
    <row r="392" spans="1:17" x14ac:dyDescent="0.25">
      <c r="A392" t="s">
        <v>17</v>
      </c>
      <c r="B392" s="1">
        <v>41718</v>
      </c>
      <c r="C392" t="s">
        <v>486</v>
      </c>
      <c r="D392" t="str">
        <f>CONCATENATE("0060012001","")</f>
        <v>0060012001</v>
      </c>
      <c r="E392" t="str">
        <f>CONCATENATE("0120501000530       ","")</f>
        <v xml:space="preserve">0120501000530       </v>
      </c>
      <c r="F392" t="str">
        <f>CONCATENATE("605120873","")</f>
        <v>605120873</v>
      </c>
      <c r="G392" t="s">
        <v>726</v>
      </c>
      <c r="H392" t="s">
        <v>731</v>
      </c>
      <c r="I392" t="s">
        <v>732</v>
      </c>
      <c r="J392" t="str">
        <f t="shared" si="44"/>
        <v>081205</v>
      </c>
      <c r="K392" t="s">
        <v>22</v>
      </c>
      <c r="L392" t="s">
        <v>23</v>
      </c>
      <c r="M392" t="str">
        <f t="shared" si="43"/>
        <v>1</v>
      </c>
      <c r="O392" t="str">
        <f t="shared" si="45"/>
        <v xml:space="preserve">1 </v>
      </c>
      <c r="P392">
        <v>12.1</v>
      </c>
      <c r="Q392" t="s">
        <v>24</v>
      </c>
    </row>
    <row r="393" spans="1:17" x14ac:dyDescent="0.25">
      <c r="A393" t="s">
        <v>17</v>
      </c>
      <c r="B393" s="1">
        <v>41718</v>
      </c>
      <c r="C393" t="s">
        <v>486</v>
      </c>
      <c r="D393" t="str">
        <f>CONCATENATE("0060012205","")</f>
        <v>0060012205</v>
      </c>
      <c r="E393" t="str">
        <f>CONCATENATE("0120501000730       ","")</f>
        <v xml:space="preserve">0120501000730       </v>
      </c>
      <c r="F393" t="str">
        <f>CONCATENATE("7033318","")</f>
        <v>7033318</v>
      </c>
      <c r="G393" t="s">
        <v>726</v>
      </c>
      <c r="H393" t="s">
        <v>733</v>
      </c>
      <c r="I393" t="s">
        <v>734</v>
      </c>
      <c r="J393" t="str">
        <f t="shared" si="44"/>
        <v>081205</v>
      </c>
      <c r="K393" t="s">
        <v>22</v>
      </c>
      <c r="L393" t="s">
        <v>23</v>
      </c>
      <c r="M393" t="str">
        <f>CONCATENATE("3","")</f>
        <v>3</v>
      </c>
      <c r="O393" t="str">
        <f t="shared" si="45"/>
        <v xml:space="preserve">1 </v>
      </c>
      <c r="P393">
        <v>13.15</v>
      </c>
      <c r="Q393" t="s">
        <v>28</v>
      </c>
    </row>
    <row r="394" spans="1:17" x14ac:dyDescent="0.25">
      <c r="A394" t="s">
        <v>17</v>
      </c>
      <c r="B394" s="1">
        <v>41718</v>
      </c>
      <c r="C394" t="s">
        <v>486</v>
      </c>
      <c r="D394" t="str">
        <f>CONCATENATE("0060008053","")</f>
        <v>0060008053</v>
      </c>
      <c r="E394" t="str">
        <f>CONCATENATE("0120501000735       ","")</f>
        <v xml:space="preserve">0120501000735       </v>
      </c>
      <c r="F394" t="str">
        <f>CONCATENATE("605938788","")</f>
        <v>605938788</v>
      </c>
      <c r="G394" t="s">
        <v>726</v>
      </c>
      <c r="H394" t="s">
        <v>735</v>
      </c>
      <c r="I394" t="s">
        <v>486</v>
      </c>
      <c r="J394" t="str">
        <f t="shared" si="44"/>
        <v>081205</v>
      </c>
      <c r="K394" t="s">
        <v>22</v>
      </c>
      <c r="L394" t="s">
        <v>23</v>
      </c>
      <c r="M394" t="str">
        <f>CONCATENATE("1","")</f>
        <v>1</v>
      </c>
      <c r="O394" t="str">
        <f t="shared" si="45"/>
        <v xml:space="preserve">1 </v>
      </c>
      <c r="P394">
        <v>11.4</v>
      </c>
      <c r="Q394" t="s">
        <v>24</v>
      </c>
    </row>
    <row r="395" spans="1:17" x14ac:dyDescent="0.25">
      <c r="A395" t="s">
        <v>17</v>
      </c>
      <c r="B395" s="1">
        <v>41718</v>
      </c>
      <c r="C395" t="s">
        <v>486</v>
      </c>
      <c r="D395" t="str">
        <f>CONCATENATE("0060010332","")</f>
        <v>0060010332</v>
      </c>
      <c r="E395" t="str">
        <f>CONCATENATE("0120501000958       ","")</f>
        <v xml:space="preserve">0120501000958       </v>
      </c>
      <c r="F395" t="str">
        <f>CONCATENATE("40300696","")</f>
        <v>40300696</v>
      </c>
      <c r="G395" t="s">
        <v>726</v>
      </c>
      <c r="H395" t="s">
        <v>731</v>
      </c>
      <c r="I395" t="s">
        <v>736</v>
      </c>
      <c r="J395" t="str">
        <f t="shared" si="44"/>
        <v>081205</v>
      </c>
      <c r="K395" t="s">
        <v>22</v>
      </c>
      <c r="L395" t="s">
        <v>23</v>
      </c>
      <c r="M395" t="str">
        <f>CONCATENATE("2","")</f>
        <v>2</v>
      </c>
      <c r="O395" t="str">
        <f t="shared" si="45"/>
        <v xml:space="preserve">1 </v>
      </c>
      <c r="P395">
        <v>16.2</v>
      </c>
      <c r="Q395" t="s">
        <v>24</v>
      </c>
    </row>
    <row r="396" spans="1:17" x14ac:dyDescent="0.25">
      <c r="A396" t="s">
        <v>17</v>
      </c>
      <c r="B396" s="1">
        <v>41718</v>
      </c>
      <c r="C396" t="s">
        <v>486</v>
      </c>
      <c r="D396" t="str">
        <f>CONCATENATE("0060019113","")</f>
        <v>0060019113</v>
      </c>
      <c r="E396" t="str">
        <f>CONCATENATE("0120501002600       ","")</f>
        <v xml:space="preserve">0120501002600       </v>
      </c>
      <c r="F396" t="str">
        <f>CONCATENATE("606666499","")</f>
        <v>606666499</v>
      </c>
      <c r="G396" t="s">
        <v>726</v>
      </c>
      <c r="H396" t="s">
        <v>737</v>
      </c>
      <c r="I396" t="s">
        <v>738</v>
      </c>
      <c r="J396" t="str">
        <f t="shared" si="44"/>
        <v>081205</v>
      </c>
      <c r="K396" t="s">
        <v>22</v>
      </c>
      <c r="L396" t="s">
        <v>23</v>
      </c>
      <c r="M396" t="str">
        <f t="shared" ref="M396:M427" si="46">CONCATENATE("1","")</f>
        <v>1</v>
      </c>
      <c r="O396" t="str">
        <f t="shared" si="45"/>
        <v xml:space="preserve">1 </v>
      </c>
      <c r="P396">
        <v>16.600000000000001</v>
      </c>
      <c r="Q396" t="s">
        <v>24</v>
      </c>
    </row>
    <row r="397" spans="1:17" x14ac:dyDescent="0.25">
      <c r="A397" t="s">
        <v>17</v>
      </c>
      <c r="B397" s="1">
        <v>41718</v>
      </c>
      <c r="C397" t="s">
        <v>486</v>
      </c>
      <c r="D397" t="str">
        <f>CONCATENATE("0060019116","")</f>
        <v>0060019116</v>
      </c>
      <c r="E397" t="str">
        <f>CONCATENATE("0120501002710       ","")</f>
        <v xml:space="preserve">0120501002710       </v>
      </c>
      <c r="F397" t="str">
        <f>CONCATENATE("606666504","")</f>
        <v>606666504</v>
      </c>
      <c r="G397" t="s">
        <v>726</v>
      </c>
      <c r="H397" t="s">
        <v>739</v>
      </c>
      <c r="I397" t="s">
        <v>740</v>
      </c>
      <c r="J397" t="str">
        <f t="shared" si="44"/>
        <v>081205</v>
      </c>
      <c r="K397" t="s">
        <v>22</v>
      </c>
      <c r="L397" t="s">
        <v>23</v>
      </c>
      <c r="M397" t="str">
        <f t="shared" si="46"/>
        <v>1</v>
      </c>
      <c r="O397" t="str">
        <f t="shared" si="45"/>
        <v xml:space="preserve">1 </v>
      </c>
      <c r="P397">
        <v>56.3</v>
      </c>
      <c r="Q397" t="s">
        <v>24</v>
      </c>
    </row>
    <row r="398" spans="1:17" x14ac:dyDescent="0.25">
      <c r="A398" t="s">
        <v>17</v>
      </c>
      <c r="B398" s="1">
        <v>41718</v>
      </c>
      <c r="C398" t="s">
        <v>486</v>
      </c>
      <c r="D398" t="str">
        <f>CONCATENATE("0060019119","")</f>
        <v>0060019119</v>
      </c>
      <c r="E398" t="str">
        <f>CONCATENATE("0120501002760       ","")</f>
        <v xml:space="preserve">0120501002760       </v>
      </c>
      <c r="F398" t="str">
        <f>CONCATENATE("606666507","")</f>
        <v>606666507</v>
      </c>
      <c r="G398" t="s">
        <v>726</v>
      </c>
      <c r="H398" t="s">
        <v>741</v>
      </c>
      <c r="I398" t="s">
        <v>742</v>
      </c>
      <c r="J398" t="str">
        <f t="shared" si="44"/>
        <v>081205</v>
      </c>
      <c r="K398" t="s">
        <v>22</v>
      </c>
      <c r="L398" t="s">
        <v>23</v>
      </c>
      <c r="M398" t="str">
        <f t="shared" si="46"/>
        <v>1</v>
      </c>
      <c r="O398" t="str">
        <f t="shared" si="45"/>
        <v xml:space="preserve">1 </v>
      </c>
      <c r="P398">
        <v>11.35</v>
      </c>
      <c r="Q398" t="s">
        <v>24</v>
      </c>
    </row>
    <row r="399" spans="1:17" x14ac:dyDescent="0.25">
      <c r="A399" t="s">
        <v>17</v>
      </c>
      <c r="B399" s="1">
        <v>41718</v>
      </c>
      <c r="C399" t="s">
        <v>486</v>
      </c>
      <c r="D399" t="str">
        <f>CONCATENATE("0060011990","")</f>
        <v>0060011990</v>
      </c>
      <c r="E399" t="str">
        <f>CONCATENATE("0120502000020       ","")</f>
        <v xml:space="preserve">0120502000020       </v>
      </c>
      <c r="F399" t="str">
        <f>CONCATENATE("606602352","")</f>
        <v>606602352</v>
      </c>
      <c r="G399" t="s">
        <v>743</v>
      </c>
      <c r="H399" t="s">
        <v>744</v>
      </c>
      <c r="I399" t="s">
        <v>745</v>
      </c>
      <c r="J399" t="str">
        <f t="shared" si="44"/>
        <v>081205</v>
      </c>
      <c r="K399" t="s">
        <v>22</v>
      </c>
      <c r="L399" t="s">
        <v>23</v>
      </c>
      <c r="M399" t="str">
        <f t="shared" si="46"/>
        <v>1</v>
      </c>
      <c r="O399" t="str">
        <f>CONCATENATE("2 ","")</f>
        <v xml:space="preserve">2 </v>
      </c>
      <c r="P399">
        <v>52</v>
      </c>
      <c r="Q399" t="s">
        <v>24</v>
      </c>
    </row>
    <row r="400" spans="1:17" x14ac:dyDescent="0.25">
      <c r="A400" t="s">
        <v>17</v>
      </c>
      <c r="B400" s="1">
        <v>41718</v>
      </c>
      <c r="C400" t="s">
        <v>486</v>
      </c>
      <c r="D400" t="str">
        <f>CONCATENATE("0060008011","")</f>
        <v>0060008011</v>
      </c>
      <c r="E400" t="str">
        <f>CONCATENATE("0120502000160       ","")</f>
        <v xml:space="preserve">0120502000160       </v>
      </c>
      <c r="F400" t="str">
        <f>CONCATENATE("605877286","")</f>
        <v>605877286</v>
      </c>
      <c r="G400" t="s">
        <v>743</v>
      </c>
      <c r="H400" t="s">
        <v>746</v>
      </c>
      <c r="I400" t="s">
        <v>747</v>
      </c>
      <c r="J400" t="str">
        <f t="shared" si="44"/>
        <v>081205</v>
      </c>
      <c r="K400" t="s">
        <v>22</v>
      </c>
      <c r="L400" t="s">
        <v>23</v>
      </c>
      <c r="M400" t="str">
        <f t="shared" si="46"/>
        <v>1</v>
      </c>
      <c r="O400" t="str">
        <f>CONCATENATE("1 ","")</f>
        <v xml:space="preserve">1 </v>
      </c>
      <c r="P400">
        <v>13.8</v>
      </c>
      <c r="Q400" t="s">
        <v>24</v>
      </c>
    </row>
    <row r="401" spans="1:17" x14ac:dyDescent="0.25">
      <c r="A401" t="s">
        <v>17</v>
      </c>
      <c r="B401" s="1">
        <v>41718</v>
      </c>
      <c r="C401" t="s">
        <v>486</v>
      </c>
      <c r="D401" t="str">
        <f>CONCATENATE("0060008065","")</f>
        <v>0060008065</v>
      </c>
      <c r="E401" t="str">
        <f>CONCATENATE("0120502000175       ","")</f>
        <v xml:space="preserve">0120502000175       </v>
      </c>
      <c r="F401" t="str">
        <f>CONCATENATE("605879540","")</f>
        <v>605879540</v>
      </c>
      <c r="G401" t="s">
        <v>743</v>
      </c>
      <c r="H401" t="s">
        <v>748</v>
      </c>
      <c r="I401" t="s">
        <v>747</v>
      </c>
      <c r="J401" t="str">
        <f t="shared" si="44"/>
        <v>081205</v>
      </c>
      <c r="K401" t="s">
        <v>22</v>
      </c>
      <c r="L401" t="s">
        <v>23</v>
      </c>
      <c r="M401" t="str">
        <f t="shared" si="46"/>
        <v>1</v>
      </c>
      <c r="O401" t="str">
        <f>CONCATENATE("2 ","")</f>
        <v xml:space="preserve">2 </v>
      </c>
      <c r="P401">
        <v>15.85</v>
      </c>
      <c r="Q401" t="s">
        <v>24</v>
      </c>
    </row>
    <row r="402" spans="1:17" x14ac:dyDescent="0.25">
      <c r="A402" t="s">
        <v>17</v>
      </c>
      <c r="B402" s="1">
        <v>41718</v>
      </c>
      <c r="C402" t="s">
        <v>486</v>
      </c>
      <c r="D402" t="str">
        <f>CONCATENATE("0060008009","")</f>
        <v>0060008009</v>
      </c>
      <c r="E402" t="str">
        <f>CONCATENATE("0120502000290       ","")</f>
        <v xml:space="preserve">0120502000290       </v>
      </c>
      <c r="F402" t="str">
        <f>CONCATENATE("605879537","")</f>
        <v>605879537</v>
      </c>
      <c r="G402" t="s">
        <v>743</v>
      </c>
      <c r="H402" t="s">
        <v>749</v>
      </c>
      <c r="I402" t="s">
        <v>747</v>
      </c>
      <c r="J402" t="str">
        <f t="shared" si="44"/>
        <v>081205</v>
      </c>
      <c r="K402" t="s">
        <v>22</v>
      </c>
      <c r="L402" t="s">
        <v>23</v>
      </c>
      <c r="M402" t="str">
        <f t="shared" si="46"/>
        <v>1</v>
      </c>
      <c r="O402" t="str">
        <f>CONCATENATE("1 ","")</f>
        <v xml:space="preserve">1 </v>
      </c>
      <c r="P402">
        <v>28.15</v>
      </c>
      <c r="Q402" t="s">
        <v>24</v>
      </c>
    </row>
    <row r="403" spans="1:17" x14ac:dyDescent="0.25">
      <c r="A403" t="s">
        <v>17</v>
      </c>
      <c r="B403" s="1">
        <v>41718</v>
      </c>
      <c r="C403" t="s">
        <v>486</v>
      </c>
      <c r="D403" t="str">
        <f>CONCATENATE("0060011031","")</f>
        <v>0060011031</v>
      </c>
      <c r="E403" t="str">
        <f>CONCATENATE("0120502000570       ","")</f>
        <v xml:space="preserve">0120502000570       </v>
      </c>
      <c r="F403" t="str">
        <f>CONCATENATE("605748201","")</f>
        <v>605748201</v>
      </c>
      <c r="G403" t="s">
        <v>743</v>
      </c>
      <c r="H403" t="s">
        <v>750</v>
      </c>
      <c r="I403" t="s">
        <v>751</v>
      </c>
      <c r="J403" t="str">
        <f t="shared" si="44"/>
        <v>081205</v>
      </c>
      <c r="K403" t="s">
        <v>22</v>
      </c>
      <c r="L403" t="s">
        <v>23</v>
      </c>
      <c r="M403" t="str">
        <f t="shared" si="46"/>
        <v>1</v>
      </c>
      <c r="O403" t="str">
        <f>CONCATENATE("1 ","")</f>
        <v xml:space="preserve">1 </v>
      </c>
      <c r="P403">
        <v>32.299999999999997</v>
      </c>
      <c r="Q403" t="s">
        <v>24</v>
      </c>
    </row>
    <row r="404" spans="1:17" x14ac:dyDescent="0.25">
      <c r="A404" t="s">
        <v>17</v>
      </c>
      <c r="B404" s="1">
        <v>41718</v>
      </c>
      <c r="C404" t="s">
        <v>486</v>
      </c>
      <c r="D404" t="str">
        <f>CONCATENATE("0060003342","")</f>
        <v>0060003342</v>
      </c>
      <c r="E404" t="str">
        <f>CONCATENATE("0120503000280       ","")</f>
        <v xml:space="preserve">0120503000280       </v>
      </c>
      <c r="F404" t="str">
        <f>CONCATENATE("605752619","")</f>
        <v>605752619</v>
      </c>
      <c r="G404" t="s">
        <v>752</v>
      </c>
      <c r="H404" t="s">
        <v>753</v>
      </c>
      <c r="I404" t="s">
        <v>754</v>
      </c>
      <c r="J404" t="str">
        <f t="shared" si="44"/>
        <v>081205</v>
      </c>
      <c r="K404" t="s">
        <v>22</v>
      </c>
      <c r="L404" t="s">
        <v>23</v>
      </c>
      <c r="M404" t="str">
        <f t="shared" si="46"/>
        <v>1</v>
      </c>
      <c r="O404" t="str">
        <f>CONCATENATE("2 ","")</f>
        <v xml:space="preserve">2 </v>
      </c>
      <c r="P404">
        <v>17.2</v>
      </c>
      <c r="Q404" t="s">
        <v>24</v>
      </c>
    </row>
    <row r="405" spans="1:17" x14ac:dyDescent="0.25">
      <c r="A405" t="s">
        <v>17</v>
      </c>
      <c r="B405" s="1">
        <v>41718</v>
      </c>
      <c r="C405" t="s">
        <v>486</v>
      </c>
      <c r="D405" t="str">
        <f>CONCATENATE("0060003347","")</f>
        <v>0060003347</v>
      </c>
      <c r="E405" t="str">
        <f>CONCATENATE("0120503000360       ","")</f>
        <v xml:space="preserve">0120503000360       </v>
      </c>
      <c r="F405" t="str">
        <f>CONCATENATE("605054900","")</f>
        <v>605054900</v>
      </c>
      <c r="G405" t="s">
        <v>752</v>
      </c>
      <c r="H405" t="s">
        <v>755</v>
      </c>
      <c r="I405" t="s">
        <v>754</v>
      </c>
      <c r="J405" t="str">
        <f t="shared" si="44"/>
        <v>081205</v>
      </c>
      <c r="K405" t="s">
        <v>22</v>
      </c>
      <c r="L405" t="s">
        <v>23</v>
      </c>
      <c r="M405" t="str">
        <f t="shared" si="46"/>
        <v>1</v>
      </c>
      <c r="O405" t="str">
        <f t="shared" ref="O405:O411" si="47">CONCATENATE("1 ","")</f>
        <v xml:space="preserve">1 </v>
      </c>
      <c r="P405">
        <v>24.3</v>
      </c>
      <c r="Q405" t="s">
        <v>24</v>
      </c>
    </row>
    <row r="406" spans="1:17" x14ac:dyDescent="0.25">
      <c r="A406" t="s">
        <v>17</v>
      </c>
      <c r="B406" s="1">
        <v>41718</v>
      </c>
      <c r="C406" t="s">
        <v>486</v>
      </c>
      <c r="D406" t="str">
        <f>CONCATENATE("0060003348","")</f>
        <v>0060003348</v>
      </c>
      <c r="E406" t="str">
        <f>CONCATENATE("0120503000410       ","")</f>
        <v xml:space="preserve">0120503000410       </v>
      </c>
      <c r="F406" t="str">
        <f>CONCATENATE("1100033","")</f>
        <v>1100033</v>
      </c>
      <c r="G406" t="s">
        <v>752</v>
      </c>
      <c r="H406" t="s">
        <v>756</v>
      </c>
      <c r="I406" t="s">
        <v>754</v>
      </c>
      <c r="J406" t="str">
        <f t="shared" si="44"/>
        <v>081205</v>
      </c>
      <c r="K406" t="s">
        <v>22</v>
      </c>
      <c r="L406" t="s">
        <v>23</v>
      </c>
      <c r="M406" t="str">
        <f t="shared" si="46"/>
        <v>1</v>
      </c>
      <c r="O406" t="str">
        <f t="shared" si="47"/>
        <v xml:space="preserve">1 </v>
      </c>
      <c r="P406">
        <v>32.9</v>
      </c>
      <c r="Q406" t="s">
        <v>24</v>
      </c>
    </row>
    <row r="407" spans="1:17" x14ac:dyDescent="0.25">
      <c r="A407" t="s">
        <v>17</v>
      </c>
      <c r="B407" s="1">
        <v>41718</v>
      </c>
      <c r="C407" t="s">
        <v>486</v>
      </c>
      <c r="D407" t="str">
        <f>CONCATENATE("0060003356","")</f>
        <v>0060003356</v>
      </c>
      <c r="E407" t="str">
        <f>CONCATENATE("0120503000670       ","")</f>
        <v xml:space="preserve">0120503000670       </v>
      </c>
      <c r="F407" t="str">
        <f>CONCATENATE("605054907","")</f>
        <v>605054907</v>
      </c>
      <c r="G407" t="s">
        <v>752</v>
      </c>
      <c r="H407" t="s">
        <v>757</v>
      </c>
      <c r="I407" t="s">
        <v>754</v>
      </c>
      <c r="J407" t="str">
        <f t="shared" si="44"/>
        <v>081205</v>
      </c>
      <c r="K407" t="s">
        <v>22</v>
      </c>
      <c r="L407" t="s">
        <v>23</v>
      </c>
      <c r="M407" t="str">
        <f t="shared" si="46"/>
        <v>1</v>
      </c>
      <c r="O407" t="str">
        <f t="shared" si="47"/>
        <v xml:space="preserve">1 </v>
      </c>
      <c r="P407">
        <v>16.149999999999999</v>
      </c>
      <c r="Q407" t="s">
        <v>24</v>
      </c>
    </row>
    <row r="408" spans="1:17" x14ac:dyDescent="0.25">
      <c r="A408" t="s">
        <v>17</v>
      </c>
      <c r="B408" s="1">
        <v>41718</v>
      </c>
      <c r="C408" t="s">
        <v>486</v>
      </c>
      <c r="D408" t="str">
        <f>CONCATENATE("0060010640","")</f>
        <v>0060010640</v>
      </c>
      <c r="E408" t="str">
        <f>CONCATENATE("0120504000045       ","")</f>
        <v xml:space="preserve">0120504000045       </v>
      </c>
      <c r="F408" t="str">
        <f>CONCATENATE("1899","")</f>
        <v>1899</v>
      </c>
      <c r="G408" t="s">
        <v>758</v>
      </c>
      <c r="H408" t="s">
        <v>759</v>
      </c>
      <c r="I408" t="s">
        <v>760</v>
      </c>
      <c r="J408" t="str">
        <f t="shared" si="44"/>
        <v>081205</v>
      </c>
      <c r="K408" t="s">
        <v>22</v>
      </c>
      <c r="L408" t="s">
        <v>23</v>
      </c>
      <c r="M408" t="str">
        <f t="shared" si="46"/>
        <v>1</v>
      </c>
      <c r="O408" t="str">
        <f t="shared" si="47"/>
        <v xml:space="preserve">1 </v>
      </c>
      <c r="P408">
        <v>40.4</v>
      </c>
      <c r="Q408" t="s">
        <v>24</v>
      </c>
    </row>
    <row r="409" spans="1:17" x14ac:dyDescent="0.25">
      <c r="A409" t="s">
        <v>17</v>
      </c>
      <c r="B409" s="1">
        <v>41718</v>
      </c>
      <c r="C409" t="s">
        <v>486</v>
      </c>
      <c r="D409" t="str">
        <f>CONCATENATE("0060003400","")</f>
        <v>0060003400</v>
      </c>
      <c r="E409" t="str">
        <f>CONCATENATE("0120504001100       ","")</f>
        <v xml:space="preserve">0120504001100       </v>
      </c>
      <c r="F409" t="str">
        <f>CONCATENATE("605877858","")</f>
        <v>605877858</v>
      </c>
      <c r="G409" t="s">
        <v>758</v>
      </c>
      <c r="H409" t="s">
        <v>761</v>
      </c>
      <c r="I409" t="s">
        <v>762</v>
      </c>
      <c r="J409" t="str">
        <f t="shared" si="44"/>
        <v>081205</v>
      </c>
      <c r="K409" t="s">
        <v>22</v>
      </c>
      <c r="L409" t="s">
        <v>23</v>
      </c>
      <c r="M409" t="str">
        <f t="shared" si="46"/>
        <v>1</v>
      </c>
      <c r="O409" t="str">
        <f t="shared" si="47"/>
        <v xml:space="preserve">1 </v>
      </c>
      <c r="P409">
        <v>63</v>
      </c>
      <c r="Q409" t="s">
        <v>24</v>
      </c>
    </row>
    <row r="410" spans="1:17" x14ac:dyDescent="0.25">
      <c r="A410" t="s">
        <v>17</v>
      </c>
      <c r="B410" s="1">
        <v>41718</v>
      </c>
      <c r="C410" t="s">
        <v>486</v>
      </c>
      <c r="D410" t="str">
        <f>CONCATENATE("0060003434","")</f>
        <v>0060003434</v>
      </c>
      <c r="E410" t="str">
        <f>CONCATENATE("0120506000170       ","")</f>
        <v xml:space="preserve">0120506000170       </v>
      </c>
      <c r="F410" t="str">
        <f>CONCATENATE("2181924","")</f>
        <v>2181924</v>
      </c>
      <c r="G410" t="s">
        <v>763</v>
      </c>
      <c r="H410" t="s">
        <v>764</v>
      </c>
      <c r="I410" t="s">
        <v>765</v>
      </c>
      <c r="J410" t="str">
        <f t="shared" si="44"/>
        <v>081205</v>
      </c>
      <c r="K410" t="s">
        <v>22</v>
      </c>
      <c r="L410" t="s">
        <v>23</v>
      </c>
      <c r="M410" t="str">
        <f t="shared" si="46"/>
        <v>1</v>
      </c>
      <c r="O410" t="str">
        <f t="shared" si="47"/>
        <v xml:space="preserve">1 </v>
      </c>
      <c r="P410">
        <v>48.15</v>
      </c>
      <c r="Q410" t="s">
        <v>24</v>
      </c>
    </row>
    <row r="411" spans="1:17" x14ac:dyDescent="0.25">
      <c r="A411" t="s">
        <v>17</v>
      </c>
      <c r="B411" s="1">
        <v>41718</v>
      </c>
      <c r="C411" t="s">
        <v>486</v>
      </c>
      <c r="D411" t="str">
        <f>CONCATENATE("0060003435","")</f>
        <v>0060003435</v>
      </c>
      <c r="E411" t="str">
        <f>CONCATENATE("0120506000180       ","")</f>
        <v xml:space="preserve">0120506000180       </v>
      </c>
      <c r="F411" t="str">
        <f>CONCATENATE("605056206","")</f>
        <v>605056206</v>
      </c>
      <c r="G411" t="s">
        <v>763</v>
      </c>
      <c r="H411" t="s">
        <v>766</v>
      </c>
      <c r="I411" t="s">
        <v>765</v>
      </c>
      <c r="J411" t="str">
        <f t="shared" si="44"/>
        <v>081205</v>
      </c>
      <c r="K411" t="s">
        <v>22</v>
      </c>
      <c r="L411" t="s">
        <v>23</v>
      </c>
      <c r="M411" t="str">
        <f t="shared" si="46"/>
        <v>1</v>
      </c>
      <c r="O411" t="str">
        <f t="shared" si="47"/>
        <v xml:space="preserve">1 </v>
      </c>
      <c r="P411">
        <v>11.25</v>
      </c>
      <c r="Q411" t="s">
        <v>24</v>
      </c>
    </row>
    <row r="412" spans="1:17" x14ac:dyDescent="0.25">
      <c r="A412" t="s">
        <v>17</v>
      </c>
      <c r="B412" s="1">
        <v>41718</v>
      </c>
      <c r="C412" t="s">
        <v>486</v>
      </c>
      <c r="D412" t="str">
        <f>CONCATENATE("0060003438","")</f>
        <v>0060003438</v>
      </c>
      <c r="E412" t="str">
        <f>CONCATENATE("0120506000210       ","")</f>
        <v xml:space="preserve">0120506000210       </v>
      </c>
      <c r="F412" t="str">
        <f>CONCATENATE("7295427","")</f>
        <v>7295427</v>
      </c>
      <c r="G412" t="s">
        <v>763</v>
      </c>
      <c r="H412" t="s">
        <v>767</v>
      </c>
      <c r="I412" t="s">
        <v>765</v>
      </c>
      <c r="J412" t="str">
        <f t="shared" si="44"/>
        <v>081205</v>
      </c>
      <c r="K412" t="s">
        <v>22</v>
      </c>
      <c r="L412" t="s">
        <v>23</v>
      </c>
      <c r="M412" t="str">
        <f t="shared" si="46"/>
        <v>1</v>
      </c>
      <c r="O412" t="str">
        <f>CONCATENATE("3 ","")</f>
        <v xml:space="preserve">3 </v>
      </c>
      <c r="P412">
        <v>22.85</v>
      </c>
      <c r="Q412" t="s">
        <v>24</v>
      </c>
    </row>
    <row r="413" spans="1:17" x14ac:dyDescent="0.25">
      <c r="A413" t="s">
        <v>17</v>
      </c>
      <c r="B413" s="1">
        <v>41718</v>
      </c>
      <c r="C413" t="s">
        <v>486</v>
      </c>
      <c r="D413" t="str">
        <f>CONCATENATE("0060003441","")</f>
        <v>0060003441</v>
      </c>
      <c r="E413" t="str">
        <f>CONCATENATE("0120506000240       ","")</f>
        <v xml:space="preserve">0120506000240       </v>
      </c>
      <c r="F413" t="str">
        <f>CONCATENATE("7299648","")</f>
        <v>7299648</v>
      </c>
      <c r="G413" t="s">
        <v>763</v>
      </c>
      <c r="H413" t="s">
        <v>768</v>
      </c>
      <c r="I413" t="s">
        <v>765</v>
      </c>
      <c r="J413" t="str">
        <f t="shared" si="44"/>
        <v>081205</v>
      </c>
      <c r="K413" t="s">
        <v>22</v>
      </c>
      <c r="L413" t="s">
        <v>23</v>
      </c>
      <c r="M413" t="str">
        <f t="shared" si="46"/>
        <v>1</v>
      </c>
      <c r="O413" t="str">
        <f>CONCATENATE("1 ","")</f>
        <v xml:space="preserve">1 </v>
      </c>
      <c r="P413">
        <v>18.899999999999999</v>
      </c>
      <c r="Q413" t="s">
        <v>24</v>
      </c>
    </row>
    <row r="414" spans="1:17" x14ac:dyDescent="0.25">
      <c r="A414" t="s">
        <v>17</v>
      </c>
      <c r="B414" s="1">
        <v>41718</v>
      </c>
      <c r="C414" t="s">
        <v>486</v>
      </c>
      <c r="D414" t="str">
        <f>CONCATENATE("0060003444","")</f>
        <v>0060003444</v>
      </c>
      <c r="E414" t="str">
        <f>CONCATENATE("0120506000270       ","")</f>
        <v xml:space="preserve">0120506000270       </v>
      </c>
      <c r="F414" t="str">
        <f>CONCATENATE("07295410","")</f>
        <v>07295410</v>
      </c>
      <c r="G414" t="s">
        <v>763</v>
      </c>
      <c r="H414" t="s">
        <v>769</v>
      </c>
      <c r="I414" t="s">
        <v>765</v>
      </c>
      <c r="J414" t="str">
        <f t="shared" si="44"/>
        <v>081205</v>
      </c>
      <c r="K414" t="s">
        <v>22</v>
      </c>
      <c r="L414" t="s">
        <v>23</v>
      </c>
      <c r="M414" t="str">
        <f t="shared" si="46"/>
        <v>1</v>
      </c>
      <c r="O414" t="str">
        <f>CONCATENATE("1 ","")</f>
        <v xml:space="preserve">1 </v>
      </c>
      <c r="P414">
        <v>24.35</v>
      </c>
      <c r="Q414" t="s">
        <v>24</v>
      </c>
    </row>
    <row r="415" spans="1:17" x14ac:dyDescent="0.25">
      <c r="A415" t="s">
        <v>17</v>
      </c>
      <c r="B415" s="1">
        <v>41718</v>
      </c>
      <c r="C415" t="s">
        <v>486</v>
      </c>
      <c r="D415" t="str">
        <f>CONCATENATE("0060003448","")</f>
        <v>0060003448</v>
      </c>
      <c r="E415" t="str">
        <f>CONCATENATE("0120506000310       ","")</f>
        <v xml:space="preserve">0120506000310       </v>
      </c>
      <c r="F415" t="str">
        <f>CONCATENATE("2174316","")</f>
        <v>2174316</v>
      </c>
      <c r="G415" t="s">
        <v>763</v>
      </c>
      <c r="H415" t="s">
        <v>770</v>
      </c>
      <c r="I415" t="s">
        <v>765</v>
      </c>
      <c r="J415" t="str">
        <f t="shared" si="44"/>
        <v>081205</v>
      </c>
      <c r="K415" t="s">
        <v>22</v>
      </c>
      <c r="L415" t="s">
        <v>23</v>
      </c>
      <c r="M415" t="str">
        <f t="shared" si="46"/>
        <v>1</v>
      </c>
      <c r="O415" t="str">
        <f>CONCATENATE("1 ","")</f>
        <v xml:space="preserve">1 </v>
      </c>
      <c r="P415">
        <v>12</v>
      </c>
      <c r="Q415" t="s">
        <v>24</v>
      </c>
    </row>
    <row r="416" spans="1:17" x14ac:dyDescent="0.25">
      <c r="A416" t="s">
        <v>17</v>
      </c>
      <c r="B416" s="1">
        <v>41718</v>
      </c>
      <c r="C416" t="s">
        <v>486</v>
      </c>
      <c r="D416" t="str">
        <f>CONCATENATE("0060003451","")</f>
        <v>0060003451</v>
      </c>
      <c r="E416" t="str">
        <f>CONCATENATE("0120506000340       ","")</f>
        <v xml:space="preserve">0120506000340       </v>
      </c>
      <c r="F416" t="str">
        <f>CONCATENATE("7299654","")</f>
        <v>7299654</v>
      </c>
      <c r="G416" t="s">
        <v>763</v>
      </c>
      <c r="H416" t="s">
        <v>771</v>
      </c>
      <c r="I416" t="s">
        <v>765</v>
      </c>
      <c r="J416" t="str">
        <f t="shared" si="44"/>
        <v>081205</v>
      </c>
      <c r="K416" t="s">
        <v>22</v>
      </c>
      <c r="L416" t="s">
        <v>23</v>
      </c>
      <c r="M416" t="str">
        <f t="shared" si="46"/>
        <v>1</v>
      </c>
      <c r="O416" t="str">
        <f>CONCATENATE("2 ","")</f>
        <v xml:space="preserve">2 </v>
      </c>
      <c r="P416">
        <v>24.15</v>
      </c>
      <c r="Q416" t="s">
        <v>24</v>
      </c>
    </row>
    <row r="417" spans="1:17" x14ac:dyDescent="0.25">
      <c r="A417" t="s">
        <v>17</v>
      </c>
      <c r="B417" s="1">
        <v>41718</v>
      </c>
      <c r="C417" t="s">
        <v>486</v>
      </c>
      <c r="D417" t="str">
        <f>CONCATENATE("0060003471","")</f>
        <v>0060003471</v>
      </c>
      <c r="E417" t="str">
        <f>CONCATENATE("0120506000530       ","")</f>
        <v xml:space="preserve">0120506000530       </v>
      </c>
      <c r="F417" t="str">
        <f>CONCATENATE("7294415","")</f>
        <v>7294415</v>
      </c>
      <c r="G417" t="s">
        <v>763</v>
      </c>
      <c r="H417" t="s">
        <v>772</v>
      </c>
      <c r="I417" t="s">
        <v>765</v>
      </c>
      <c r="J417" t="str">
        <f t="shared" si="44"/>
        <v>081205</v>
      </c>
      <c r="K417" t="s">
        <v>22</v>
      </c>
      <c r="L417" t="s">
        <v>23</v>
      </c>
      <c r="M417" t="str">
        <f t="shared" si="46"/>
        <v>1</v>
      </c>
      <c r="O417" t="str">
        <f>CONCATENATE("2 ","")</f>
        <v xml:space="preserve">2 </v>
      </c>
      <c r="P417">
        <v>17.149999999999999</v>
      </c>
      <c r="Q417" t="s">
        <v>24</v>
      </c>
    </row>
    <row r="418" spans="1:17" x14ac:dyDescent="0.25">
      <c r="A418" t="s">
        <v>17</v>
      </c>
      <c r="B418" s="1">
        <v>41718</v>
      </c>
      <c r="C418" t="s">
        <v>486</v>
      </c>
      <c r="D418" t="str">
        <f>CONCATENATE("0060003475","")</f>
        <v>0060003475</v>
      </c>
      <c r="E418" t="str">
        <f>CONCATENATE("0120506000580       ","")</f>
        <v xml:space="preserve">0120506000580       </v>
      </c>
      <c r="F418" t="str">
        <f>CONCATENATE("7294416","")</f>
        <v>7294416</v>
      </c>
      <c r="G418" t="s">
        <v>763</v>
      </c>
      <c r="H418" t="s">
        <v>773</v>
      </c>
      <c r="I418" t="s">
        <v>765</v>
      </c>
      <c r="J418" t="str">
        <f t="shared" si="44"/>
        <v>081205</v>
      </c>
      <c r="K418" t="s">
        <v>22</v>
      </c>
      <c r="L418" t="s">
        <v>23</v>
      </c>
      <c r="M418" t="str">
        <f t="shared" si="46"/>
        <v>1</v>
      </c>
      <c r="O418" t="str">
        <f t="shared" ref="O418:O429" si="48">CONCATENATE("1 ","")</f>
        <v xml:space="preserve">1 </v>
      </c>
      <c r="P418">
        <v>24.35</v>
      </c>
      <c r="Q418" t="s">
        <v>24</v>
      </c>
    </row>
    <row r="419" spans="1:17" x14ac:dyDescent="0.25">
      <c r="A419" t="s">
        <v>17</v>
      </c>
      <c r="B419" s="1">
        <v>41718</v>
      </c>
      <c r="C419" t="s">
        <v>486</v>
      </c>
      <c r="D419" t="str">
        <f>CONCATENATE("0060003477","")</f>
        <v>0060003477</v>
      </c>
      <c r="E419" t="str">
        <f>CONCATENATE("0120506000600       ","")</f>
        <v xml:space="preserve">0120506000600       </v>
      </c>
      <c r="F419" t="str">
        <f>CONCATENATE("7294414","")</f>
        <v>7294414</v>
      </c>
      <c r="G419" t="s">
        <v>763</v>
      </c>
      <c r="H419" t="s">
        <v>774</v>
      </c>
      <c r="I419" t="s">
        <v>765</v>
      </c>
      <c r="J419" t="str">
        <f t="shared" si="44"/>
        <v>081205</v>
      </c>
      <c r="K419" t="s">
        <v>22</v>
      </c>
      <c r="L419" t="s">
        <v>23</v>
      </c>
      <c r="M419" t="str">
        <f t="shared" si="46"/>
        <v>1</v>
      </c>
      <c r="O419" t="str">
        <f t="shared" si="48"/>
        <v xml:space="preserve">1 </v>
      </c>
      <c r="P419">
        <v>11.4</v>
      </c>
      <c r="Q419" t="s">
        <v>24</v>
      </c>
    </row>
    <row r="420" spans="1:17" x14ac:dyDescent="0.25">
      <c r="A420" t="s">
        <v>17</v>
      </c>
      <c r="B420" s="1">
        <v>41718</v>
      </c>
      <c r="C420" t="s">
        <v>486</v>
      </c>
      <c r="D420" t="str">
        <f>CONCATENATE("0060003478","")</f>
        <v>0060003478</v>
      </c>
      <c r="E420" t="str">
        <f>CONCATENATE("0120506000610       ","")</f>
        <v xml:space="preserve">0120506000610       </v>
      </c>
      <c r="F420" t="str">
        <f>CONCATENATE("7294413","")</f>
        <v>7294413</v>
      </c>
      <c r="G420" t="s">
        <v>763</v>
      </c>
      <c r="H420" t="s">
        <v>775</v>
      </c>
      <c r="I420" t="s">
        <v>765</v>
      </c>
      <c r="J420" t="str">
        <f t="shared" si="44"/>
        <v>081205</v>
      </c>
      <c r="K420" t="s">
        <v>22</v>
      </c>
      <c r="L420" t="s">
        <v>23</v>
      </c>
      <c r="M420" t="str">
        <f t="shared" si="46"/>
        <v>1</v>
      </c>
      <c r="O420" t="str">
        <f t="shared" si="48"/>
        <v xml:space="preserve">1 </v>
      </c>
      <c r="P420">
        <v>23.55</v>
      </c>
      <c r="Q420" t="s">
        <v>24</v>
      </c>
    </row>
    <row r="421" spans="1:17" x14ac:dyDescent="0.25">
      <c r="A421" t="s">
        <v>17</v>
      </c>
      <c r="B421" s="1">
        <v>41718</v>
      </c>
      <c r="C421" t="s">
        <v>486</v>
      </c>
      <c r="D421" t="str">
        <f>CONCATENATE("0060003488","")</f>
        <v>0060003488</v>
      </c>
      <c r="E421" t="str">
        <f>CONCATENATE("0120507000030       ","")</f>
        <v xml:space="preserve">0120507000030       </v>
      </c>
      <c r="F421" t="str">
        <f>CONCATENATE("7294375","")</f>
        <v>7294375</v>
      </c>
      <c r="G421" t="s">
        <v>776</v>
      </c>
      <c r="H421" t="s">
        <v>777</v>
      </c>
      <c r="I421" t="s">
        <v>778</v>
      </c>
      <c r="J421" t="str">
        <f t="shared" si="44"/>
        <v>081205</v>
      </c>
      <c r="K421" t="s">
        <v>22</v>
      </c>
      <c r="L421" t="s">
        <v>23</v>
      </c>
      <c r="M421" t="str">
        <f t="shared" si="46"/>
        <v>1</v>
      </c>
      <c r="O421" t="str">
        <f t="shared" si="48"/>
        <v xml:space="preserve">1 </v>
      </c>
      <c r="P421">
        <v>23.9</v>
      </c>
      <c r="Q421" t="s">
        <v>24</v>
      </c>
    </row>
    <row r="422" spans="1:17" x14ac:dyDescent="0.25">
      <c r="A422" t="s">
        <v>17</v>
      </c>
      <c r="B422" s="1">
        <v>41718</v>
      </c>
      <c r="C422" t="s">
        <v>486</v>
      </c>
      <c r="D422" t="str">
        <f>CONCATENATE("0060003489","")</f>
        <v>0060003489</v>
      </c>
      <c r="E422" t="str">
        <f>CONCATENATE("0120507000040       ","")</f>
        <v xml:space="preserve">0120507000040       </v>
      </c>
      <c r="F422" t="str">
        <f>CONCATENATE("7294373","")</f>
        <v>7294373</v>
      </c>
      <c r="G422" t="s">
        <v>776</v>
      </c>
      <c r="H422" t="s">
        <v>779</v>
      </c>
      <c r="I422" t="s">
        <v>778</v>
      </c>
      <c r="J422" t="str">
        <f t="shared" si="44"/>
        <v>081205</v>
      </c>
      <c r="K422" t="s">
        <v>22</v>
      </c>
      <c r="L422" t="s">
        <v>23</v>
      </c>
      <c r="M422" t="str">
        <f t="shared" si="46"/>
        <v>1</v>
      </c>
      <c r="O422" t="str">
        <f t="shared" si="48"/>
        <v xml:space="preserve">1 </v>
      </c>
      <c r="P422">
        <v>33.549999999999997</v>
      </c>
      <c r="Q422" t="s">
        <v>24</v>
      </c>
    </row>
    <row r="423" spans="1:17" x14ac:dyDescent="0.25">
      <c r="A423" t="s">
        <v>17</v>
      </c>
      <c r="B423" s="1">
        <v>41718</v>
      </c>
      <c r="C423" t="s">
        <v>486</v>
      </c>
      <c r="D423" t="str">
        <f>CONCATENATE("0060013298","")</f>
        <v>0060013298</v>
      </c>
      <c r="E423" t="str">
        <f>CONCATENATE("0120507000065       ","")</f>
        <v xml:space="preserve">0120507000065       </v>
      </c>
      <c r="F423" t="str">
        <f>CONCATENATE("2121438","")</f>
        <v>2121438</v>
      </c>
      <c r="G423" t="s">
        <v>776</v>
      </c>
      <c r="H423" t="s">
        <v>780</v>
      </c>
      <c r="I423" t="s">
        <v>781</v>
      </c>
      <c r="J423" t="str">
        <f t="shared" si="44"/>
        <v>081205</v>
      </c>
      <c r="K423" t="s">
        <v>22</v>
      </c>
      <c r="L423" t="s">
        <v>23</v>
      </c>
      <c r="M423" t="str">
        <f t="shared" si="46"/>
        <v>1</v>
      </c>
      <c r="O423" t="str">
        <f t="shared" si="48"/>
        <v xml:space="preserve">1 </v>
      </c>
      <c r="P423">
        <v>11.2</v>
      </c>
      <c r="Q423" t="s">
        <v>24</v>
      </c>
    </row>
    <row r="424" spans="1:17" x14ac:dyDescent="0.25">
      <c r="A424" t="s">
        <v>17</v>
      </c>
      <c r="B424" s="1">
        <v>41718</v>
      </c>
      <c r="C424" t="s">
        <v>486</v>
      </c>
      <c r="D424" t="str">
        <f>CONCATENATE("0060003493","")</f>
        <v>0060003493</v>
      </c>
      <c r="E424" t="str">
        <f>CONCATENATE("0120507000080       ","")</f>
        <v xml:space="preserve">0120507000080       </v>
      </c>
      <c r="F424" t="str">
        <f>CONCATENATE("7294371","")</f>
        <v>7294371</v>
      </c>
      <c r="G424" t="s">
        <v>776</v>
      </c>
      <c r="H424" t="s">
        <v>782</v>
      </c>
      <c r="I424" t="s">
        <v>778</v>
      </c>
      <c r="J424" t="str">
        <f t="shared" si="44"/>
        <v>081205</v>
      </c>
      <c r="K424" t="s">
        <v>22</v>
      </c>
      <c r="L424" t="s">
        <v>23</v>
      </c>
      <c r="M424" t="str">
        <f t="shared" si="46"/>
        <v>1</v>
      </c>
      <c r="O424" t="str">
        <f t="shared" si="48"/>
        <v xml:space="preserve">1 </v>
      </c>
      <c r="P424">
        <v>21</v>
      </c>
      <c r="Q424" t="s">
        <v>24</v>
      </c>
    </row>
    <row r="425" spans="1:17" x14ac:dyDescent="0.25">
      <c r="A425" t="s">
        <v>17</v>
      </c>
      <c r="B425" s="1">
        <v>41718</v>
      </c>
      <c r="C425" t="s">
        <v>486</v>
      </c>
      <c r="D425" t="str">
        <f>CONCATENATE("0060003494","")</f>
        <v>0060003494</v>
      </c>
      <c r="E425" t="str">
        <f>CONCATENATE("0120507000090       ","")</f>
        <v xml:space="preserve">0120507000090       </v>
      </c>
      <c r="F425" t="str">
        <f>CONCATENATE("7294379","")</f>
        <v>7294379</v>
      </c>
      <c r="G425" t="s">
        <v>776</v>
      </c>
      <c r="H425" t="s">
        <v>783</v>
      </c>
      <c r="I425" t="s">
        <v>778</v>
      </c>
      <c r="J425" t="str">
        <f t="shared" si="44"/>
        <v>081205</v>
      </c>
      <c r="K425" t="s">
        <v>22</v>
      </c>
      <c r="L425" t="s">
        <v>23</v>
      </c>
      <c r="M425" t="str">
        <f t="shared" si="46"/>
        <v>1</v>
      </c>
      <c r="O425" t="str">
        <f t="shared" si="48"/>
        <v xml:space="preserve">1 </v>
      </c>
      <c r="P425">
        <v>22.45</v>
      </c>
      <c r="Q425" t="s">
        <v>24</v>
      </c>
    </row>
    <row r="426" spans="1:17" x14ac:dyDescent="0.25">
      <c r="A426" t="s">
        <v>17</v>
      </c>
      <c r="B426" s="1">
        <v>41718</v>
      </c>
      <c r="C426" t="s">
        <v>486</v>
      </c>
      <c r="D426" t="str">
        <f>CONCATENATE("0060010692","")</f>
        <v>0060010692</v>
      </c>
      <c r="E426" t="str">
        <f>CONCATENATE("0120507000105       ","")</f>
        <v xml:space="preserve">0120507000105       </v>
      </c>
      <c r="F426" t="str">
        <f>CONCATENATE("2187894","")</f>
        <v>2187894</v>
      </c>
      <c r="G426" t="s">
        <v>776</v>
      </c>
      <c r="H426" t="s">
        <v>784</v>
      </c>
      <c r="I426" t="s">
        <v>785</v>
      </c>
      <c r="J426" t="str">
        <f t="shared" si="44"/>
        <v>081205</v>
      </c>
      <c r="K426" t="s">
        <v>22</v>
      </c>
      <c r="L426" t="s">
        <v>23</v>
      </c>
      <c r="M426" t="str">
        <f t="shared" si="46"/>
        <v>1</v>
      </c>
      <c r="O426" t="str">
        <f t="shared" si="48"/>
        <v xml:space="preserve">1 </v>
      </c>
      <c r="P426">
        <v>12.6</v>
      </c>
      <c r="Q426" t="s">
        <v>24</v>
      </c>
    </row>
    <row r="427" spans="1:17" x14ac:dyDescent="0.25">
      <c r="A427" t="s">
        <v>17</v>
      </c>
      <c r="B427" s="1">
        <v>41718</v>
      </c>
      <c r="C427" t="s">
        <v>786</v>
      </c>
      <c r="D427" t="str">
        <f>CONCATENATE("0060015526","")</f>
        <v>0060015526</v>
      </c>
      <c r="E427" t="str">
        <f>CONCATENATE("0120507000152       ","")</f>
        <v xml:space="preserve">0120507000152       </v>
      </c>
      <c r="F427" t="str">
        <f>CONCATENATE("605933096","")</f>
        <v>605933096</v>
      </c>
      <c r="G427" t="s">
        <v>776</v>
      </c>
      <c r="H427" t="s">
        <v>787</v>
      </c>
      <c r="I427" t="s">
        <v>788</v>
      </c>
      <c r="J427" t="str">
        <f>CONCATENATE("081210","")</f>
        <v>081210</v>
      </c>
      <c r="K427" t="s">
        <v>22</v>
      </c>
      <c r="L427" t="s">
        <v>23</v>
      </c>
      <c r="M427" t="str">
        <f t="shared" si="46"/>
        <v>1</v>
      </c>
      <c r="O427" t="str">
        <f t="shared" si="48"/>
        <v xml:space="preserve">1 </v>
      </c>
      <c r="P427">
        <v>23.4</v>
      </c>
      <c r="Q427" t="s">
        <v>24</v>
      </c>
    </row>
    <row r="428" spans="1:17" x14ac:dyDescent="0.25">
      <c r="A428" t="s">
        <v>17</v>
      </c>
      <c r="B428" s="1">
        <v>41718</v>
      </c>
      <c r="C428" t="s">
        <v>486</v>
      </c>
      <c r="D428" t="str">
        <f>CONCATENATE("0060003509","")</f>
        <v>0060003509</v>
      </c>
      <c r="E428" t="str">
        <f>CONCATENATE("0120507000260       ","")</f>
        <v xml:space="preserve">0120507000260       </v>
      </c>
      <c r="F428" t="str">
        <f>CONCATENATE("7296713","")</f>
        <v>7296713</v>
      </c>
      <c r="G428" t="s">
        <v>776</v>
      </c>
      <c r="H428" t="s">
        <v>789</v>
      </c>
      <c r="I428" t="s">
        <v>790</v>
      </c>
      <c r="J428" t="str">
        <f>CONCATENATE("081205","")</f>
        <v>081205</v>
      </c>
      <c r="K428" t="s">
        <v>22</v>
      </c>
      <c r="L428" t="s">
        <v>23</v>
      </c>
      <c r="M428" t="str">
        <f t="shared" ref="M428:M459" si="49">CONCATENATE("1","")</f>
        <v>1</v>
      </c>
      <c r="O428" t="str">
        <f t="shared" si="48"/>
        <v xml:space="preserve">1 </v>
      </c>
      <c r="P428">
        <v>19.45</v>
      </c>
      <c r="Q428" t="s">
        <v>24</v>
      </c>
    </row>
    <row r="429" spans="1:17" x14ac:dyDescent="0.25">
      <c r="A429" t="s">
        <v>17</v>
      </c>
      <c r="B429" s="1">
        <v>41718</v>
      </c>
      <c r="C429" t="s">
        <v>786</v>
      </c>
      <c r="D429" t="str">
        <f>CONCATENATE("0060011527","")</f>
        <v>0060011527</v>
      </c>
      <c r="E429" t="str">
        <f>CONCATENATE("0120507000290       ","")</f>
        <v xml:space="preserve">0120507000290       </v>
      </c>
      <c r="F429" t="str">
        <f>CONCATENATE("01240673","")</f>
        <v>01240673</v>
      </c>
      <c r="G429" t="s">
        <v>776</v>
      </c>
      <c r="H429" t="s">
        <v>791</v>
      </c>
      <c r="I429" t="s">
        <v>785</v>
      </c>
      <c r="J429" t="str">
        <f>CONCATENATE("081205","")</f>
        <v>081205</v>
      </c>
      <c r="K429" t="s">
        <v>22</v>
      </c>
      <c r="L429" t="s">
        <v>23</v>
      </c>
      <c r="M429" t="str">
        <f t="shared" si="49"/>
        <v>1</v>
      </c>
      <c r="O429" t="str">
        <f t="shared" si="48"/>
        <v xml:space="preserve">1 </v>
      </c>
      <c r="P429">
        <v>42.85</v>
      </c>
      <c r="Q429" t="s">
        <v>24</v>
      </c>
    </row>
    <row r="430" spans="1:17" x14ac:dyDescent="0.25">
      <c r="A430" t="s">
        <v>17</v>
      </c>
      <c r="B430" s="1">
        <v>41718</v>
      </c>
      <c r="C430" t="s">
        <v>486</v>
      </c>
      <c r="D430" t="str">
        <f>CONCATENATE("0060003517","")</f>
        <v>0060003517</v>
      </c>
      <c r="E430" t="str">
        <f>CONCATENATE("0120507000350       ","")</f>
        <v xml:space="preserve">0120507000350       </v>
      </c>
      <c r="F430" t="str">
        <f>CONCATENATE("7293070","")</f>
        <v>7293070</v>
      </c>
      <c r="G430" t="s">
        <v>776</v>
      </c>
      <c r="H430" t="s">
        <v>792</v>
      </c>
      <c r="I430" t="s">
        <v>778</v>
      </c>
      <c r="J430" t="str">
        <f>CONCATENATE("081205","")</f>
        <v>081205</v>
      </c>
      <c r="K430" t="s">
        <v>22</v>
      </c>
      <c r="L430" t="s">
        <v>23</v>
      </c>
      <c r="M430" t="str">
        <f t="shared" si="49"/>
        <v>1</v>
      </c>
      <c r="O430" t="str">
        <f>CONCATENATE("4 ","")</f>
        <v xml:space="preserve">4 </v>
      </c>
      <c r="P430">
        <v>28.15</v>
      </c>
      <c r="Q430" t="s">
        <v>24</v>
      </c>
    </row>
    <row r="431" spans="1:17" x14ac:dyDescent="0.25">
      <c r="A431" t="s">
        <v>17</v>
      </c>
      <c r="B431" s="1">
        <v>41718</v>
      </c>
      <c r="C431" t="s">
        <v>486</v>
      </c>
      <c r="D431" t="str">
        <f>CONCATENATE("0060003536","")</f>
        <v>0060003536</v>
      </c>
      <c r="E431" t="str">
        <f>CONCATENATE("0120507000550       ","")</f>
        <v xml:space="preserve">0120507000550       </v>
      </c>
      <c r="F431" t="str">
        <f>CONCATENATE("7299273","")</f>
        <v>7299273</v>
      </c>
      <c r="G431" t="s">
        <v>776</v>
      </c>
      <c r="H431" t="s">
        <v>793</v>
      </c>
      <c r="I431" t="s">
        <v>778</v>
      </c>
      <c r="J431" t="str">
        <f>CONCATENATE("081205","")</f>
        <v>081205</v>
      </c>
      <c r="K431" t="s">
        <v>22</v>
      </c>
      <c r="L431" t="s">
        <v>23</v>
      </c>
      <c r="M431" t="str">
        <f t="shared" si="49"/>
        <v>1</v>
      </c>
      <c r="O431" t="str">
        <f t="shared" ref="O431:O438" si="50">CONCATENATE("1 ","")</f>
        <v xml:space="preserve">1 </v>
      </c>
      <c r="P431">
        <v>13.95</v>
      </c>
      <c r="Q431" t="s">
        <v>24</v>
      </c>
    </row>
    <row r="432" spans="1:17" x14ac:dyDescent="0.25">
      <c r="A432" t="s">
        <v>17</v>
      </c>
      <c r="B432" s="1">
        <v>41718</v>
      </c>
      <c r="C432" t="s">
        <v>794</v>
      </c>
      <c r="D432" t="str">
        <f>CONCATENATE("0060003547","")</f>
        <v>0060003547</v>
      </c>
      <c r="E432" t="str">
        <f>CONCATENATE("0120508000070       ","")</f>
        <v xml:space="preserve">0120508000070       </v>
      </c>
      <c r="F432" t="str">
        <f>CONCATENATE("605879156","")</f>
        <v>605879156</v>
      </c>
      <c r="G432" t="s">
        <v>795</v>
      </c>
      <c r="H432" t="s">
        <v>796</v>
      </c>
      <c r="I432" t="s">
        <v>797</v>
      </c>
      <c r="J432" t="str">
        <f t="shared" ref="J432:J438" si="51">CONCATENATE("081204","")</f>
        <v>081204</v>
      </c>
      <c r="K432" t="s">
        <v>22</v>
      </c>
      <c r="L432" t="s">
        <v>23</v>
      </c>
      <c r="M432" t="str">
        <f t="shared" si="49"/>
        <v>1</v>
      </c>
      <c r="O432" t="str">
        <f t="shared" si="50"/>
        <v xml:space="preserve">1 </v>
      </c>
      <c r="P432">
        <v>10.5</v>
      </c>
      <c r="Q432" t="s">
        <v>24</v>
      </c>
    </row>
    <row r="433" spans="1:17" x14ac:dyDescent="0.25">
      <c r="A433" t="s">
        <v>17</v>
      </c>
      <c r="B433" s="1">
        <v>41718</v>
      </c>
      <c r="C433" t="s">
        <v>794</v>
      </c>
      <c r="D433" t="str">
        <f>CONCATENATE("0060003570","")</f>
        <v>0060003570</v>
      </c>
      <c r="E433" t="str">
        <f>CONCATENATE("0120508000290       ","")</f>
        <v xml:space="preserve">0120508000290       </v>
      </c>
      <c r="F433" t="str">
        <f>CONCATENATE("605878775","")</f>
        <v>605878775</v>
      </c>
      <c r="G433" t="s">
        <v>795</v>
      </c>
      <c r="H433" t="s">
        <v>798</v>
      </c>
      <c r="I433" t="s">
        <v>797</v>
      </c>
      <c r="J433" t="str">
        <f t="shared" si="51"/>
        <v>081204</v>
      </c>
      <c r="K433" t="s">
        <v>22</v>
      </c>
      <c r="L433" t="s">
        <v>23</v>
      </c>
      <c r="M433" t="str">
        <f t="shared" si="49"/>
        <v>1</v>
      </c>
      <c r="O433" t="str">
        <f t="shared" si="50"/>
        <v xml:space="preserve">1 </v>
      </c>
      <c r="P433">
        <v>86.05</v>
      </c>
      <c r="Q433" t="s">
        <v>24</v>
      </c>
    </row>
    <row r="434" spans="1:17" x14ac:dyDescent="0.25">
      <c r="A434" t="s">
        <v>17</v>
      </c>
      <c r="B434" s="1">
        <v>41718</v>
      </c>
      <c r="C434" t="s">
        <v>794</v>
      </c>
      <c r="D434" t="str">
        <f>CONCATENATE("0060003576","")</f>
        <v>0060003576</v>
      </c>
      <c r="E434" t="str">
        <f>CONCATENATE("0120508000340       ","")</f>
        <v xml:space="preserve">0120508000340       </v>
      </c>
      <c r="F434" t="str">
        <f>CONCATENATE("605353608","")</f>
        <v>605353608</v>
      </c>
      <c r="G434" t="s">
        <v>795</v>
      </c>
      <c r="H434" t="s">
        <v>799</v>
      </c>
      <c r="I434" t="s">
        <v>797</v>
      </c>
      <c r="J434" t="str">
        <f t="shared" si="51"/>
        <v>081204</v>
      </c>
      <c r="K434" t="s">
        <v>22</v>
      </c>
      <c r="L434" t="s">
        <v>23</v>
      </c>
      <c r="M434" t="str">
        <f t="shared" si="49"/>
        <v>1</v>
      </c>
      <c r="O434" t="str">
        <f t="shared" si="50"/>
        <v xml:space="preserve">1 </v>
      </c>
      <c r="P434">
        <v>14.9</v>
      </c>
      <c r="Q434" t="s">
        <v>24</v>
      </c>
    </row>
    <row r="435" spans="1:17" x14ac:dyDescent="0.25">
      <c r="A435" t="s">
        <v>17</v>
      </c>
      <c r="B435" s="1">
        <v>41718</v>
      </c>
      <c r="C435" t="s">
        <v>794</v>
      </c>
      <c r="D435" t="str">
        <f>CONCATENATE("0060003582","")</f>
        <v>0060003582</v>
      </c>
      <c r="E435" t="str">
        <f>CONCATENATE("0120509000025       ","")</f>
        <v xml:space="preserve">0120509000025       </v>
      </c>
      <c r="F435" t="str">
        <f>CONCATENATE("605055680","")</f>
        <v>605055680</v>
      </c>
      <c r="G435" t="s">
        <v>800</v>
      </c>
      <c r="H435" t="s">
        <v>801</v>
      </c>
      <c r="I435" t="s">
        <v>802</v>
      </c>
      <c r="J435" t="str">
        <f t="shared" si="51"/>
        <v>081204</v>
      </c>
      <c r="K435" t="s">
        <v>22</v>
      </c>
      <c r="L435" t="s">
        <v>23</v>
      </c>
      <c r="M435" t="str">
        <f t="shared" si="49"/>
        <v>1</v>
      </c>
      <c r="O435" t="str">
        <f t="shared" si="50"/>
        <v xml:space="preserve">1 </v>
      </c>
      <c r="P435">
        <v>16.350000000000001</v>
      </c>
      <c r="Q435" t="s">
        <v>24</v>
      </c>
    </row>
    <row r="436" spans="1:17" x14ac:dyDescent="0.25">
      <c r="A436" t="s">
        <v>17</v>
      </c>
      <c r="B436" s="1">
        <v>41718</v>
      </c>
      <c r="C436" t="s">
        <v>794</v>
      </c>
      <c r="D436" t="str">
        <f>CONCATENATE("0060003647","")</f>
        <v>0060003647</v>
      </c>
      <c r="E436" t="str">
        <f>CONCATENATE("0120509000650       ","")</f>
        <v xml:space="preserve">0120509000650       </v>
      </c>
      <c r="F436" t="str">
        <f>CONCATENATE("00000001839","")</f>
        <v>00000001839</v>
      </c>
      <c r="G436" t="s">
        <v>800</v>
      </c>
      <c r="H436" t="s">
        <v>803</v>
      </c>
      <c r="I436" t="s">
        <v>802</v>
      </c>
      <c r="J436" t="str">
        <f t="shared" si="51"/>
        <v>081204</v>
      </c>
      <c r="K436" t="s">
        <v>22</v>
      </c>
      <c r="L436" t="s">
        <v>23</v>
      </c>
      <c r="M436" t="str">
        <f t="shared" si="49"/>
        <v>1</v>
      </c>
      <c r="O436" t="str">
        <f t="shared" si="50"/>
        <v xml:space="preserve">1 </v>
      </c>
      <c r="P436">
        <v>24.25</v>
      </c>
      <c r="Q436" t="s">
        <v>24</v>
      </c>
    </row>
    <row r="437" spans="1:17" x14ac:dyDescent="0.25">
      <c r="A437" t="s">
        <v>17</v>
      </c>
      <c r="B437" s="1">
        <v>41718</v>
      </c>
      <c r="C437" t="s">
        <v>794</v>
      </c>
      <c r="D437" t="str">
        <f>CONCATENATE("0060003648","")</f>
        <v>0060003648</v>
      </c>
      <c r="E437" t="str">
        <f>CONCATENATE("0120509000660       ","")</f>
        <v xml:space="preserve">0120509000660       </v>
      </c>
      <c r="F437" t="str">
        <f>CONCATENATE("00000001262","")</f>
        <v>00000001262</v>
      </c>
      <c r="G437" t="s">
        <v>800</v>
      </c>
      <c r="H437" t="s">
        <v>804</v>
      </c>
      <c r="I437" t="s">
        <v>802</v>
      </c>
      <c r="J437" t="str">
        <f t="shared" si="51"/>
        <v>081204</v>
      </c>
      <c r="K437" t="s">
        <v>22</v>
      </c>
      <c r="L437" t="s">
        <v>23</v>
      </c>
      <c r="M437" t="str">
        <f t="shared" si="49"/>
        <v>1</v>
      </c>
      <c r="O437" t="str">
        <f t="shared" si="50"/>
        <v xml:space="preserve">1 </v>
      </c>
      <c r="P437">
        <v>25.8</v>
      </c>
      <c r="Q437" t="s">
        <v>24</v>
      </c>
    </row>
    <row r="438" spans="1:17" x14ac:dyDescent="0.25">
      <c r="A438" t="s">
        <v>17</v>
      </c>
      <c r="B438" s="1">
        <v>41718</v>
      </c>
      <c r="C438" t="s">
        <v>794</v>
      </c>
      <c r="D438" t="str">
        <f>CONCATENATE("0060003655","")</f>
        <v>0060003655</v>
      </c>
      <c r="E438" t="str">
        <f>CONCATENATE("0120509000715       ","")</f>
        <v xml:space="preserve">0120509000715       </v>
      </c>
      <c r="F438" t="str">
        <f>CONCATENATE("00000189155","")</f>
        <v>00000189155</v>
      </c>
      <c r="G438" t="s">
        <v>800</v>
      </c>
      <c r="H438" t="s">
        <v>805</v>
      </c>
      <c r="I438" t="s">
        <v>806</v>
      </c>
      <c r="J438" t="str">
        <f t="shared" si="51"/>
        <v>081204</v>
      </c>
      <c r="K438" t="s">
        <v>22</v>
      </c>
      <c r="L438" t="s">
        <v>23</v>
      </c>
      <c r="M438" t="str">
        <f t="shared" si="49"/>
        <v>1</v>
      </c>
      <c r="O438" t="str">
        <f t="shared" si="50"/>
        <v xml:space="preserve">1 </v>
      </c>
      <c r="P438">
        <v>16.55</v>
      </c>
      <c r="Q438" t="s">
        <v>24</v>
      </c>
    </row>
    <row r="439" spans="1:17" x14ac:dyDescent="0.25">
      <c r="A439" t="s">
        <v>17</v>
      </c>
      <c r="B439" s="1">
        <v>41718</v>
      </c>
      <c r="C439" t="s">
        <v>486</v>
      </c>
      <c r="D439" t="str">
        <f>CONCATENATE("0060003687","")</f>
        <v>0060003687</v>
      </c>
      <c r="E439" t="str">
        <f>CONCATENATE("0120510000150       ","")</f>
        <v xml:space="preserve">0120510000150       </v>
      </c>
      <c r="F439" t="str">
        <f>CONCATENATE("1098541","")</f>
        <v>1098541</v>
      </c>
      <c r="G439" t="s">
        <v>807</v>
      </c>
      <c r="H439" t="s">
        <v>808</v>
      </c>
      <c r="I439" t="s">
        <v>809</v>
      </c>
      <c r="J439" t="str">
        <f t="shared" ref="J439:J459" si="52">CONCATENATE("081205","")</f>
        <v>081205</v>
      </c>
      <c r="K439" t="s">
        <v>22</v>
      </c>
      <c r="L439" t="s">
        <v>23</v>
      </c>
      <c r="M439" t="str">
        <f t="shared" si="49"/>
        <v>1</v>
      </c>
      <c r="O439" t="str">
        <f>CONCATENATE("4 ","")</f>
        <v xml:space="preserve">4 </v>
      </c>
      <c r="P439">
        <v>31.45</v>
      </c>
      <c r="Q439" t="s">
        <v>24</v>
      </c>
    </row>
    <row r="440" spans="1:17" x14ac:dyDescent="0.25">
      <c r="A440" t="s">
        <v>17</v>
      </c>
      <c r="B440" s="1">
        <v>41718</v>
      </c>
      <c r="C440" t="s">
        <v>486</v>
      </c>
      <c r="D440" t="str">
        <f>CONCATENATE("0060014376","")</f>
        <v>0060014376</v>
      </c>
      <c r="E440" t="str">
        <f>CONCATENATE("0120510000263       ","")</f>
        <v xml:space="preserve">0120510000263       </v>
      </c>
      <c r="F440" t="str">
        <f>CONCATENATE("0605630623","")</f>
        <v>0605630623</v>
      </c>
      <c r="G440" t="s">
        <v>807</v>
      </c>
      <c r="H440" t="s">
        <v>810</v>
      </c>
      <c r="I440" t="s">
        <v>811</v>
      </c>
      <c r="J440" t="str">
        <f t="shared" si="52"/>
        <v>081205</v>
      </c>
      <c r="K440" t="s">
        <v>22</v>
      </c>
      <c r="L440" t="s">
        <v>23</v>
      </c>
      <c r="M440" t="str">
        <f t="shared" si="49"/>
        <v>1</v>
      </c>
      <c r="O440" t="str">
        <f>CONCATENATE("1 ","")</f>
        <v xml:space="preserve">1 </v>
      </c>
      <c r="P440">
        <v>12.85</v>
      </c>
      <c r="Q440" t="s">
        <v>24</v>
      </c>
    </row>
    <row r="441" spans="1:17" x14ac:dyDescent="0.25">
      <c r="A441" t="s">
        <v>17</v>
      </c>
      <c r="B441" s="1">
        <v>41718</v>
      </c>
      <c r="C441" t="s">
        <v>486</v>
      </c>
      <c r="D441" t="str">
        <f>CONCATENATE("0060003716","")</f>
        <v>0060003716</v>
      </c>
      <c r="E441" t="str">
        <f>CONCATENATE("0120510000350       ","")</f>
        <v xml:space="preserve">0120510000350       </v>
      </c>
      <c r="F441" t="str">
        <f>CONCATENATE("2125138","")</f>
        <v>2125138</v>
      </c>
      <c r="G441" t="s">
        <v>807</v>
      </c>
      <c r="H441" t="s">
        <v>812</v>
      </c>
      <c r="I441" t="s">
        <v>809</v>
      </c>
      <c r="J441" t="str">
        <f t="shared" si="52"/>
        <v>081205</v>
      </c>
      <c r="K441" t="s">
        <v>22</v>
      </c>
      <c r="L441" t="s">
        <v>23</v>
      </c>
      <c r="M441" t="str">
        <f t="shared" si="49"/>
        <v>1</v>
      </c>
      <c r="O441" t="str">
        <f>CONCATENATE("1 ","")</f>
        <v xml:space="preserve">1 </v>
      </c>
      <c r="P441">
        <v>17.3</v>
      </c>
      <c r="Q441" t="s">
        <v>24</v>
      </c>
    </row>
    <row r="442" spans="1:17" x14ac:dyDescent="0.25">
      <c r="A442" t="s">
        <v>17</v>
      </c>
      <c r="B442" s="1">
        <v>41718</v>
      </c>
      <c r="C442" t="s">
        <v>486</v>
      </c>
      <c r="D442" t="str">
        <f>CONCATENATE("0060003739","")</f>
        <v>0060003739</v>
      </c>
      <c r="E442" t="str">
        <f>CONCATENATE("0120510000485       ","")</f>
        <v xml:space="preserve">0120510000485       </v>
      </c>
      <c r="F442" t="str">
        <f>CONCATENATE("605938784","")</f>
        <v>605938784</v>
      </c>
      <c r="G442" t="s">
        <v>807</v>
      </c>
      <c r="H442" t="s">
        <v>813</v>
      </c>
      <c r="I442" t="s">
        <v>809</v>
      </c>
      <c r="J442" t="str">
        <f t="shared" si="52"/>
        <v>081205</v>
      </c>
      <c r="K442" t="s">
        <v>22</v>
      </c>
      <c r="L442" t="s">
        <v>23</v>
      </c>
      <c r="M442" t="str">
        <f t="shared" si="49"/>
        <v>1</v>
      </c>
      <c r="O442" t="str">
        <f>CONCATENATE("1 ","")</f>
        <v xml:space="preserve">1 </v>
      </c>
      <c r="P442">
        <v>13.2</v>
      </c>
      <c r="Q442" t="s">
        <v>24</v>
      </c>
    </row>
    <row r="443" spans="1:17" x14ac:dyDescent="0.25">
      <c r="A443" t="s">
        <v>17</v>
      </c>
      <c r="B443" s="1">
        <v>41718</v>
      </c>
      <c r="C443" t="s">
        <v>486</v>
      </c>
      <c r="D443" t="str">
        <f>CONCATENATE("0060003800","")</f>
        <v>0060003800</v>
      </c>
      <c r="E443" t="str">
        <f>CONCATENATE("0120511000040       ","")</f>
        <v xml:space="preserve">0120511000040       </v>
      </c>
      <c r="F443" t="str">
        <f>CONCATENATE("605353743","")</f>
        <v>605353743</v>
      </c>
      <c r="G443" t="s">
        <v>814</v>
      </c>
      <c r="H443" t="s">
        <v>815</v>
      </c>
      <c r="I443" t="s">
        <v>816</v>
      </c>
      <c r="J443" t="str">
        <f t="shared" si="52"/>
        <v>081205</v>
      </c>
      <c r="K443" t="s">
        <v>22</v>
      </c>
      <c r="L443" t="s">
        <v>23</v>
      </c>
      <c r="M443" t="str">
        <f t="shared" si="49"/>
        <v>1</v>
      </c>
      <c r="O443" t="str">
        <f>CONCATENATE("1 ","")</f>
        <v xml:space="preserve">1 </v>
      </c>
      <c r="P443">
        <v>10.45</v>
      </c>
      <c r="Q443" t="s">
        <v>24</v>
      </c>
    </row>
    <row r="444" spans="1:17" x14ac:dyDescent="0.25">
      <c r="A444" t="s">
        <v>17</v>
      </c>
      <c r="B444" s="1">
        <v>41718</v>
      </c>
      <c r="C444" t="s">
        <v>486</v>
      </c>
      <c r="D444" t="str">
        <f>CONCATENATE("0060003803","")</f>
        <v>0060003803</v>
      </c>
      <c r="E444" t="str">
        <f>CONCATENATE("0120511000070       ","")</f>
        <v xml:space="preserve">0120511000070       </v>
      </c>
      <c r="F444" t="str">
        <f>CONCATENATE("605353735","")</f>
        <v>605353735</v>
      </c>
      <c r="G444" t="s">
        <v>814</v>
      </c>
      <c r="H444" t="s">
        <v>817</v>
      </c>
      <c r="I444" t="s">
        <v>816</v>
      </c>
      <c r="J444" t="str">
        <f t="shared" si="52"/>
        <v>081205</v>
      </c>
      <c r="K444" t="s">
        <v>22</v>
      </c>
      <c r="L444" t="s">
        <v>23</v>
      </c>
      <c r="M444" t="str">
        <f t="shared" si="49"/>
        <v>1</v>
      </c>
      <c r="O444" t="str">
        <f>CONCATENATE("4 ","")</f>
        <v xml:space="preserve">4 </v>
      </c>
      <c r="P444">
        <v>27.05</v>
      </c>
      <c r="Q444" t="s">
        <v>24</v>
      </c>
    </row>
    <row r="445" spans="1:17" x14ac:dyDescent="0.25">
      <c r="A445" t="s">
        <v>17</v>
      </c>
      <c r="B445" s="1">
        <v>41718</v>
      </c>
      <c r="C445" t="s">
        <v>486</v>
      </c>
      <c r="D445" t="str">
        <f>CONCATENATE("0060003811","")</f>
        <v>0060003811</v>
      </c>
      <c r="E445" t="str">
        <f>CONCATENATE("0120511000150       ","")</f>
        <v xml:space="preserve">0120511000150       </v>
      </c>
      <c r="F445" t="str">
        <f>CONCATENATE("605353740","")</f>
        <v>605353740</v>
      </c>
      <c r="G445" t="s">
        <v>814</v>
      </c>
      <c r="H445" t="s">
        <v>818</v>
      </c>
      <c r="I445" t="s">
        <v>816</v>
      </c>
      <c r="J445" t="str">
        <f t="shared" si="52"/>
        <v>081205</v>
      </c>
      <c r="K445" t="s">
        <v>22</v>
      </c>
      <c r="L445" t="s">
        <v>23</v>
      </c>
      <c r="M445" t="str">
        <f t="shared" si="49"/>
        <v>1</v>
      </c>
      <c r="O445" t="str">
        <f>CONCATENATE("1 ","")</f>
        <v xml:space="preserve">1 </v>
      </c>
      <c r="P445">
        <v>32.200000000000003</v>
      </c>
      <c r="Q445" t="s">
        <v>24</v>
      </c>
    </row>
    <row r="446" spans="1:17" x14ac:dyDescent="0.25">
      <c r="A446" t="s">
        <v>17</v>
      </c>
      <c r="B446" s="1">
        <v>41718</v>
      </c>
      <c r="C446" t="s">
        <v>486</v>
      </c>
      <c r="D446" t="str">
        <f>CONCATENATE("0060003816","")</f>
        <v>0060003816</v>
      </c>
      <c r="E446" t="str">
        <f>CONCATENATE("0120511000200       ","")</f>
        <v xml:space="preserve">0120511000200       </v>
      </c>
      <c r="F446" t="str">
        <f>CONCATENATE("605353805","")</f>
        <v>605353805</v>
      </c>
      <c r="G446" t="s">
        <v>814</v>
      </c>
      <c r="H446" t="s">
        <v>819</v>
      </c>
      <c r="I446" t="s">
        <v>816</v>
      </c>
      <c r="J446" t="str">
        <f t="shared" si="52"/>
        <v>081205</v>
      </c>
      <c r="K446" t="s">
        <v>22</v>
      </c>
      <c r="L446" t="s">
        <v>23</v>
      </c>
      <c r="M446" t="str">
        <f t="shared" si="49"/>
        <v>1</v>
      </c>
      <c r="O446" t="str">
        <f>CONCATENATE("2 ","")</f>
        <v xml:space="preserve">2 </v>
      </c>
      <c r="P446">
        <v>32.35</v>
      </c>
      <c r="Q446" t="s">
        <v>24</v>
      </c>
    </row>
    <row r="447" spans="1:17" x14ac:dyDescent="0.25">
      <c r="A447" t="s">
        <v>17</v>
      </c>
      <c r="B447" s="1">
        <v>41718</v>
      </c>
      <c r="C447" t="s">
        <v>486</v>
      </c>
      <c r="D447" t="str">
        <f>CONCATENATE("0060003824","")</f>
        <v>0060003824</v>
      </c>
      <c r="E447" t="str">
        <f>CONCATENATE("0120511000280       ","")</f>
        <v xml:space="preserve">0120511000280       </v>
      </c>
      <c r="F447" t="str">
        <f>CONCATENATE("605354082","")</f>
        <v>605354082</v>
      </c>
      <c r="G447" t="s">
        <v>814</v>
      </c>
      <c r="H447" t="s">
        <v>820</v>
      </c>
      <c r="I447" t="s">
        <v>816</v>
      </c>
      <c r="J447" t="str">
        <f t="shared" si="52"/>
        <v>081205</v>
      </c>
      <c r="K447" t="s">
        <v>22</v>
      </c>
      <c r="L447" t="s">
        <v>23</v>
      </c>
      <c r="M447" t="str">
        <f t="shared" si="49"/>
        <v>1</v>
      </c>
      <c r="O447" t="str">
        <f>CONCATENATE("1 ","")</f>
        <v xml:space="preserve">1 </v>
      </c>
      <c r="P447">
        <v>40.75</v>
      </c>
      <c r="Q447" t="s">
        <v>24</v>
      </c>
    </row>
    <row r="448" spans="1:17" x14ac:dyDescent="0.25">
      <c r="A448" t="s">
        <v>17</v>
      </c>
      <c r="B448" s="1">
        <v>41718</v>
      </c>
      <c r="C448" t="s">
        <v>486</v>
      </c>
      <c r="D448" t="str">
        <f>CONCATENATE("0060003826","")</f>
        <v>0060003826</v>
      </c>
      <c r="E448" t="str">
        <f>CONCATENATE("0120511000300       ","")</f>
        <v xml:space="preserve">0120511000300       </v>
      </c>
      <c r="F448" t="str">
        <f>CONCATENATE("605743144","")</f>
        <v>605743144</v>
      </c>
      <c r="G448" t="s">
        <v>814</v>
      </c>
      <c r="H448" t="s">
        <v>821</v>
      </c>
      <c r="I448" t="s">
        <v>816</v>
      </c>
      <c r="J448" t="str">
        <f t="shared" si="52"/>
        <v>081205</v>
      </c>
      <c r="K448" t="s">
        <v>22</v>
      </c>
      <c r="L448" t="s">
        <v>23</v>
      </c>
      <c r="M448" t="str">
        <f t="shared" si="49"/>
        <v>1</v>
      </c>
      <c r="O448" t="str">
        <f>CONCATENATE("4 ","")</f>
        <v xml:space="preserve">4 </v>
      </c>
      <c r="P448">
        <v>25.95</v>
      </c>
      <c r="Q448" t="s">
        <v>24</v>
      </c>
    </row>
    <row r="449" spans="1:17" x14ac:dyDescent="0.25">
      <c r="A449" t="s">
        <v>17</v>
      </c>
      <c r="B449" s="1">
        <v>41718</v>
      </c>
      <c r="C449" t="s">
        <v>486</v>
      </c>
      <c r="D449" t="str">
        <f>CONCATENATE("0060003827","")</f>
        <v>0060003827</v>
      </c>
      <c r="E449" t="str">
        <f>CONCATENATE("0120511000310       ","")</f>
        <v xml:space="preserve">0120511000310       </v>
      </c>
      <c r="F449" t="str">
        <f>CONCATENATE("605353745","")</f>
        <v>605353745</v>
      </c>
      <c r="G449" t="s">
        <v>814</v>
      </c>
      <c r="H449" t="s">
        <v>822</v>
      </c>
      <c r="I449" t="s">
        <v>816</v>
      </c>
      <c r="J449" t="str">
        <f t="shared" si="52"/>
        <v>081205</v>
      </c>
      <c r="K449" t="s">
        <v>22</v>
      </c>
      <c r="L449" t="s">
        <v>23</v>
      </c>
      <c r="M449" t="str">
        <f t="shared" si="49"/>
        <v>1</v>
      </c>
      <c r="O449" t="str">
        <f>CONCATENATE("2 ","")</f>
        <v xml:space="preserve">2 </v>
      </c>
      <c r="P449">
        <v>15.75</v>
      </c>
      <c r="Q449" t="s">
        <v>24</v>
      </c>
    </row>
    <row r="450" spans="1:17" x14ac:dyDescent="0.25">
      <c r="A450" t="s">
        <v>17</v>
      </c>
      <c r="B450" s="1">
        <v>41718</v>
      </c>
      <c r="C450" t="s">
        <v>486</v>
      </c>
      <c r="D450" t="str">
        <f>CONCATENATE("0060003831","")</f>
        <v>0060003831</v>
      </c>
      <c r="E450" t="str">
        <f>CONCATENATE("0120511000350       ","")</f>
        <v xml:space="preserve">0120511000350       </v>
      </c>
      <c r="F450" t="str">
        <f>CONCATENATE("605392039","")</f>
        <v>605392039</v>
      </c>
      <c r="G450" t="s">
        <v>814</v>
      </c>
      <c r="H450" t="s">
        <v>823</v>
      </c>
      <c r="I450" t="s">
        <v>816</v>
      </c>
      <c r="J450" t="str">
        <f t="shared" si="52"/>
        <v>081205</v>
      </c>
      <c r="K450" t="s">
        <v>22</v>
      </c>
      <c r="L450" t="s">
        <v>23</v>
      </c>
      <c r="M450" t="str">
        <f t="shared" si="49"/>
        <v>1</v>
      </c>
      <c r="O450" t="str">
        <f>CONCATENATE("6 ","")</f>
        <v xml:space="preserve">6 </v>
      </c>
      <c r="P450">
        <v>42.2</v>
      </c>
      <c r="Q450" t="s">
        <v>24</v>
      </c>
    </row>
    <row r="451" spans="1:17" x14ac:dyDescent="0.25">
      <c r="A451" t="s">
        <v>17</v>
      </c>
      <c r="B451" s="1">
        <v>41718</v>
      </c>
      <c r="C451" t="s">
        <v>486</v>
      </c>
      <c r="D451" t="str">
        <f>CONCATENATE("0060003873","")</f>
        <v>0060003873</v>
      </c>
      <c r="E451" t="str">
        <f>CONCATENATE("0120512000022       ","")</f>
        <v xml:space="preserve">0120512000022       </v>
      </c>
      <c r="F451" t="str">
        <f>CONCATENATE("606591165","")</f>
        <v>606591165</v>
      </c>
      <c r="G451" t="s">
        <v>824</v>
      </c>
      <c r="H451" t="s">
        <v>825</v>
      </c>
      <c r="I451" t="s">
        <v>826</v>
      </c>
      <c r="J451" t="str">
        <f t="shared" si="52"/>
        <v>081205</v>
      </c>
      <c r="K451" t="s">
        <v>22</v>
      </c>
      <c r="L451" t="s">
        <v>23</v>
      </c>
      <c r="M451" t="str">
        <f t="shared" si="49"/>
        <v>1</v>
      </c>
      <c r="O451" t="str">
        <f>CONCATENATE("1 ","")</f>
        <v xml:space="preserve">1 </v>
      </c>
      <c r="P451">
        <v>41.95</v>
      </c>
      <c r="Q451" t="s">
        <v>24</v>
      </c>
    </row>
    <row r="452" spans="1:17" x14ac:dyDescent="0.25">
      <c r="A452" t="s">
        <v>17</v>
      </c>
      <c r="B452" s="1">
        <v>41718</v>
      </c>
      <c r="C452" t="s">
        <v>486</v>
      </c>
      <c r="D452" t="str">
        <f>CONCATENATE("0060009856","")</f>
        <v>0060009856</v>
      </c>
      <c r="E452" t="str">
        <f>CONCATENATE("0120512000183       ","")</f>
        <v xml:space="preserve">0120512000183       </v>
      </c>
      <c r="F452" t="str">
        <f>CONCATENATE("00000291605","")</f>
        <v>00000291605</v>
      </c>
      <c r="G452" t="s">
        <v>824</v>
      </c>
      <c r="H452" t="s">
        <v>827</v>
      </c>
      <c r="I452" t="s">
        <v>826</v>
      </c>
      <c r="J452" t="str">
        <f t="shared" si="52"/>
        <v>081205</v>
      </c>
      <c r="K452" t="s">
        <v>22</v>
      </c>
      <c r="L452" t="s">
        <v>23</v>
      </c>
      <c r="M452" t="str">
        <f t="shared" si="49"/>
        <v>1</v>
      </c>
      <c r="O452" t="str">
        <f>CONCATENATE("1 ","")</f>
        <v xml:space="preserve">1 </v>
      </c>
      <c r="P452">
        <v>58.6</v>
      </c>
      <c r="Q452" t="s">
        <v>24</v>
      </c>
    </row>
    <row r="453" spans="1:17" x14ac:dyDescent="0.25">
      <c r="A453" t="s">
        <v>17</v>
      </c>
      <c r="B453" s="1">
        <v>41718</v>
      </c>
      <c r="C453" t="s">
        <v>486</v>
      </c>
      <c r="D453" t="str">
        <f>CONCATENATE("0060003894","")</f>
        <v>0060003894</v>
      </c>
      <c r="E453" t="str">
        <f>CONCATENATE("0120512000200       ","")</f>
        <v xml:space="preserve">0120512000200       </v>
      </c>
      <c r="F453" t="str">
        <f>CONCATENATE("605353803","")</f>
        <v>605353803</v>
      </c>
      <c r="G453" t="s">
        <v>824</v>
      </c>
      <c r="H453" t="s">
        <v>828</v>
      </c>
      <c r="I453" t="s">
        <v>826</v>
      </c>
      <c r="J453" t="str">
        <f t="shared" si="52"/>
        <v>081205</v>
      </c>
      <c r="K453" t="s">
        <v>22</v>
      </c>
      <c r="L453" t="s">
        <v>23</v>
      </c>
      <c r="M453" t="str">
        <f t="shared" si="49"/>
        <v>1</v>
      </c>
      <c r="O453" t="str">
        <f>CONCATENATE("1 ","")</f>
        <v xml:space="preserve">1 </v>
      </c>
      <c r="P453">
        <v>42.15</v>
      </c>
      <c r="Q453" t="s">
        <v>24</v>
      </c>
    </row>
    <row r="454" spans="1:17" x14ac:dyDescent="0.25">
      <c r="A454" t="s">
        <v>17</v>
      </c>
      <c r="B454" s="1">
        <v>41718</v>
      </c>
      <c r="C454" t="s">
        <v>486</v>
      </c>
      <c r="D454" t="str">
        <f>CONCATENATE("0060003897","")</f>
        <v>0060003897</v>
      </c>
      <c r="E454" t="str">
        <f>CONCATENATE("0120512000230       ","")</f>
        <v xml:space="preserve">0120512000230       </v>
      </c>
      <c r="F454" t="str">
        <f>CONCATENATE("1100035","")</f>
        <v>1100035</v>
      </c>
      <c r="G454" t="s">
        <v>824</v>
      </c>
      <c r="H454" t="s">
        <v>829</v>
      </c>
      <c r="I454" t="s">
        <v>826</v>
      </c>
      <c r="J454" t="str">
        <f t="shared" si="52"/>
        <v>081205</v>
      </c>
      <c r="K454" t="s">
        <v>22</v>
      </c>
      <c r="L454" t="s">
        <v>23</v>
      </c>
      <c r="M454" t="str">
        <f t="shared" si="49"/>
        <v>1</v>
      </c>
      <c r="O454" t="str">
        <f>CONCATENATE("1 ","")</f>
        <v xml:space="preserve">1 </v>
      </c>
      <c r="P454">
        <v>10.45</v>
      </c>
      <c r="Q454" t="s">
        <v>24</v>
      </c>
    </row>
    <row r="455" spans="1:17" x14ac:dyDescent="0.25">
      <c r="A455" t="s">
        <v>17</v>
      </c>
      <c r="B455" s="1">
        <v>41718</v>
      </c>
      <c r="C455" t="s">
        <v>486</v>
      </c>
      <c r="D455" t="str">
        <f>CONCATENATE("0060003907","")</f>
        <v>0060003907</v>
      </c>
      <c r="E455" t="str">
        <f>CONCATENATE("0120512000360       ","")</f>
        <v xml:space="preserve">0120512000360       </v>
      </c>
      <c r="F455" t="str">
        <f>CONCATENATE("2187899","")</f>
        <v>2187899</v>
      </c>
      <c r="G455" t="s">
        <v>824</v>
      </c>
      <c r="H455" t="s">
        <v>830</v>
      </c>
      <c r="I455" t="s">
        <v>826</v>
      </c>
      <c r="J455" t="str">
        <f t="shared" si="52"/>
        <v>081205</v>
      </c>
      <c r="K455" t="s">
        <v>22</v>
      </c>
      <c r="L455" t="s">
        <v>23</v>
      </c>
      <c r="M455" t="str">
        <f t="shared" si="49"/>
        <v>1</v>
      </c>
      <c r="O455" t="str">
        <f>CONCATENATE("2 ","")</f>
        <v xml:space="preserve">2 </v>
      </c>
      <c r="P455">
        <v>79.099999999999994</v>
      </c>
      <c r="Q455" t="s">
        <v>24</v>
      </c>
    </row>
    <row r="456" spans="1:17" x14ac:dyDescent="0.25">
      <c r="A456" t="s">
        <v>17</v>
      </c>
      <c r="B456" s="1">
        <v>41718</v>
      </c>
      <c r="C456" t="s">
        <v>486</v>
      </c>
      <c r="D456" t="str">
        <f>CONCATENATE("0060003918","")</f>
        <v>0060003918</v>
      </c>
      <c r="E456" t="str">
        <f>CONCATENATE("0120512000470       ","")</f>
        <v xml:space="preserve">0120512000470       </v>
      </c>
      <c r="F456" t="str">
        <f>CONCATENATE("2125133","")</f>
        <v>2125133</v>
      </c>
      <c r="G456" t="s">
        <v>824</v>
      </c>
      <c r="H456" t="s">
        <v>831</v>
      </c>
      <c r="I456" t="s">
        <v>826</v>
      </c>
      <c r="J456" t="str">
        <f t="shared" si="52"/>
        <v>081205</v>
      </c>
      <c r="K456" t="s">
        <v>22</v>
      </c>
      <c r="L456" t="s">
        <v>23</v>
      </c>
      <c r="M456" t="str">
        <f t="shared" si="49"/>
        <v>1</v>
      </c>
      <c r="O456" t="str">
        <f>CONCATENATE("1 ","")</f>
        <v xml:space="preserve">1 </v>
      </c>
      <c r="P456">
        <v>27.5</v>
      </c>
      <c r="Q456" t="s">
        <v>24</v>
      </c>
    </row>
    <row r="457" spans="1:17" x14ac:dyDescent="0.25">
      <c r="A457" t="s">
        <v>17</v>
      </c>
      <c r="B457" s="1">
        <v>41718</v>
      </c>
      <c r="C457" t="s">
        <v>486</v>
      </c>
      <c r="D457" t="str">
        <f>CONCATENATE("0060003923","")</f>
        <v>0060003923</v>
      </c>
      <c r="E457" t="str">
        <f>CONCATENATE("0120512000510       ","")</f>
        <v xml:space="preserve">0120512000510       </v>
      </c>
      <c r="F457" t="str">
        <f>CONCATENATE("1099452","")</f>
        <v>1099452</v>
      </c>
      <c r="G457" t="s">
        <v>824</v>
      </c>
      <c r="H457" t="s">
        <v>832</v>
      </c>
      <c r="I457" t="s">
        <v>826</v>
      </c>
      <c r="J457" t="str">
        <f t="shared" si="52"/>
        <v>081205</v>
      </c>
      <c r="K457" t="s">
        <v>22</v>
      </c>
      <c r="L457" t="s">
        <v>23</v>
      </c>
      <c r="M457" t="str">
        <f t="shared" si="49"/>
        <v>1</v>
      </c>
      <c r="O457" t="str">
        <f>CONCATENATE("2 ","")</f>
        <v xml:space="preserve">2 </v>
      </c>
      <c r="P457">
        <v>66.45</v>
      </c>
      <c r="Q457" t="s">
        <v>24</v>
      </c>
    </row>
    <row r="458" spans="1:17" x14ac:dyDescent="0.25">
      <c r="A458" t="s">
        <v>17</v>
      </c>
      <c r="B458" s="1">
        <v>41718</v>
      </c>
      <c r="C458" t="s">
        <v>486</v>
      </c>
      <c r="D458" t="str">
        <f>CONCATENATE("0060013228","")</f>
        <v>0060013228</v>
      </c>
      <c r="E458" t="str">
        <f>CONCATENATE("0120512000550       ","")</f>
        <v xml:space="preserve">0120512000550       </v>
      </c>
      <c r="F458" t="str">
        <f>CONCATENATE("605282077","")</f>
        <v>605282077</v>
      </c>
      <c r="G458" t="s">
        <v>824</v>
      </c>
      <c r="H458" t="s">
        <v>833</v>
      </c>
      <c r="I458" t="s">
        <v>834</v>
      </c>
      <c r="J458" t="str">
        <f t="shared" si="52"/>
        <v>081205</v>
      </c>
      <c r="K458" t="s">
        <v>22</v>
      </c>
      <c r="L458" t="s">
        <v>23</v>
      </c>
      <c r="M458" t="str">
        <f t="shared" si="49"/>
        <v>1</v>
      </c>
      <c r="O458" t="str">
        <f>CONCATENATE("2 ","")</f>
        <v xml:space="preserve">2 </v>
      </c>
      <c r="P458">
        <v>30.9</v>
      </c>
      <c r="Q458" t="s">
        <v>24</v>
      </c>
    </row>
    <row r="459" spans="1:17" x14ac:dyDescent="0.25">
      <c r="A459" t="s">
        <v>17</v>
      </c>
      <c r="B459" s="1">
        <v>41718</v>
      </c>
      <c r="C459" t="s">
        <v>486</v>
      </c>
      <c r="D459" t="str">
        <f>CONCATENATE("0060003927","")</f>
        <v>0060003927</v>
      </c>
      <c r="E459" t="str">
        <f>CONCATENATE("0120512000560       ","")</f>
        <v xml:space="preserve">0120512000560       </v>
      </c>
      <c r="F459" t="str">
        <f>CONCATENATE("605354083","")</f>
        <v>605354083</v>
      </c>
      <c r="G459" t="s">
        <v>824</v>
      </c>
      <c r="H459" t="s">
        <v>835</v>
      </c>
      <c r="I459" t="s">
        <v>826</v>
      </c>
      <c r="J459" t="str">
        <f t="shared" si="52"/>
        <v>081205</v>
      </c>
      <c r="K459" t="s">
        <v>22</v>
      </c>
      <c r="L459" t="s">
        <v>23</v>
      </c>
      <c r="M459" t="str">
        <f t="shared" si="49"/>
        <v>1</v>
      </c>
      <c r="O459" t="str">
        <f>CONCATENATE("6 ","")</f>
        <v xml:space="preserve">6 </v>
      </c>
      <c r="P459">
        <v>84.3</v>
      </c>
      <c r="Q459" t="s">
        <v>24</v>
      </c>
    </row>
    <row r="460" spans="1:17" x14ac:dyDescent="0.25">
      <c r="A460" t="s">
        <v>17</v>
      </c>
      <c r="B460" s="1">
        <v>41718</v>
      </c>
      <c r="C460" t="s">
        <v>140</v>
      </c>
      <c r="D460" t="str">
        <f>CONCATENATE("0060013757","")</f>
        <v>0060013757</v>
      </c>
      <c r="E460" t="str">
        <f>CONCATENATE("0120512000561       ","")</f>
        <v xml:space="preserve">0120512000561       </v>
      </c>
      <c r="F460" t="str">
        <f>CONCATENATE("605621023","")</f>
        <v>605621023</v>
      </c>
      <c r="G460" t="s">
        <v>824</v>
      </c>
      <c r="H460" t="s">
        <v>836</v>
      </c>
      <c r="I460" t="s">
        <v>837</v>
      </c>
      <c r="J460" t="str">
        <f>CONCATENATE("081201","")</f>
        <v>081201</v>
      </c>
      <c r="K460" t="s">
        <v>22</v>
      </c>
      <c r="L460" t="s">
        <v>23</v>
      </c>
      <c r="M460" t="str">
        <f t="shared" ref="M460:M491" si="53">CONCATENATE("1","")</f>
        <v>1</v>
      </c>
      <c r="O460" t="str">
        <f>CONCATENATE("1 ","")</f>
        <v xml:space="preserve">1 </v>
      </c>
      <c r="P460">
        <v>27.95</v>
      </c>
      <c r="Q460" t="s">
        <v>24</v>
      </c>
    </row>
    <row r="461" spans="1:17" x14ac:dyDescent="0.25">
      <c r="A461" t="s">
        <v>17</v>
      </c>
      <c r="B461" s="1">
        <v>41718</v>
      </c>
      <c r="C461" t="s">
        <v>486</v>
      </c>
      <c r="D461" t="str">
        <f>CONCATENATE("0060003929","")</f>
        <v>0060003929</v>
      </c>
      <c r="E461" t="str">
        <f>CONCATENATE("0120512000580       ","")</f>
        <v xml:space="preserve">0120512000580       </v>
      </c>
      <c r="F461" t="str">
        <f>CONCATENATE("605353910","")</f>
        <v>605353910</v>
      </c>
      <c r="G461" t="s">
        <v>824</v>
      </c>
      <c r="H461" t="s">
        <v>838</v>
      </c>
      <c r="I461" t="s">
        <v>826</v>
      </c>
      <c r="J461" t="str">
        <f t="shared" ref="J461:J467" si="54">CONCATENATE("081205","")</f>
        <v>081205</v>
      </c>
      <c r="K461" t="s">
        <v>22</v>
      </c>
      <c r="L461" t="s">
        <v>23</v>
      </c>
      <c r="M461" t="str">
        <f t="shared" si="53"/>
        <v>1</v>
      </c>
      <c r="O461" t="str">
        <f>CONCATENATE("1 ","")</f>
        <v xml:space="preserve">1 </v>
      </c>
      <c r="P461">
        <v>64.55</v>
      </c>
      <c r="Q461" t="s">
        <v>24</v>
      </c>
    </row>
    <row r="462" spans="1:17" x14ac:dyDescent="0.25">
      <c r="A462" t="s">
        <v>17</v>
      </c>
      <c r="B462" s="1">
        <v>41718</v>
      </c>
      <c r="C462" t="s">
        <v>486</v>
      </c>
      <c r="D462" t="str">
        <f>CONCATENATE("0060003930","")</f>
        <v>0060003930</v>
      </c>
      <c r="E462" t="str">
        <f>CONCATENATE("0120512000600       ","")</f>
        <v xml:space="preserve">0120512000600       </v>
      </c>
      <c r="F462" t="str">
        <f>CONCATENATE("2189564","")</f>
        <v>2189564</v>
      </c>
      <c r="G462" t="s">
        <v>824</v>
      </c>
      <c r="H462" t="s">
        <v>839</v>
      </c>
      <c r="I462" t="s">
        <v>826</v>
      </c>
      <c r="J462" t="str">
        <f t="shared" si="54"/>
        <v>081205</v>
      </c>
      <c r="K462" t="s">
        <v>22</v>
      </c>
      <c r="L462" t="s">
        <v>23</v>
      </c>
      <c r="M462" t="str">
        <f t="shared" si="53"/>
        <v>1</v>
      </c>
      <c r="O462" t="str">
        <f>CONCATENATE("1 ","")</f>
        <v xml:space="preserve">1 </v>
      </c>
      <c r="P462">
        <v>47.25</v>
      </c>
      <c r="Q462" t="s">
        <v>24</v>
      </c>
    </row>
    <row r="463" spans="1:17" x14ac:dyDescent="0.25">
      <c r="A463" t="s">
        <v>17</v>
      </c>
      <c r="B463" s="1">
        <v>41718</v>
      </c>
      <c r="C463" t="s">
        <v>486</v>
      </c>
      <c r="D463" t="str">
        <f>CONCATENATE("0060003933","")</f>
        <v>0060003933</v>
      </c>
      <c r="E463" t="str">
        <f>CONCATENATE("0120512000640       ","")</f>
        <v xml:space="preserve">0120512000640       </v>
      </c>
      <c r="F463" t="str">
        <f>CONCATENATE("605942026","")</f>
        <v>605942026</v>
      </c>
      <c r="G463" t="s">
        <v>824</v>
      </c>
      <c r="H463" t="s">
        <v>840</v>
      </c>
      <c r="I463" t="s">
        <v>826</v>
      </c>
      <c r="J463" t="str">
        <f t="shared" si="54"/>
        <v>081205</v>
      </c>
      <c r="K463" t="s">
        <v>22</v>
      </c>
      <c r="L463" t="s">
        <v>23</v>
      </c>
      <c r="M463" t="str">
        <f t="shared" si="53"/>
        <v>1</v>
      </c>
      <c r="O463" t="str">
        <f>CONCATENATE("1 ","")</f>
        <v xml:space="preserve">1 </v>
      </c>
      <c r="P463">
        <v>18.649999999999999</v>
      </c>
      <c r="Q463" t="s">
        <v>24</v>
      </c>
    </row>
    <row r="464" spans="1:17" x14ac:dyDescent="0.25">
      <c r="A464" t="s">
        <v>17</v>
      </c>
      <c r="B464" s="1">
        <v>41718</v>
      </c>
      <c r="C464" t="s">
        <v>140</v>
      </c>
      <c r="D464" t="str">
        <f>CONCATENATE("0060010876","")</f>
        <v>0060010876</v>
      </c>
      <c r="E464" t="str">
        <f>CONCATENATE("0120512000680       ","")</f>
        <v xml:space="preserve">0120512000680       </v>
      </c>
      <c r="F464" t="str">
        <f>CONCATENATE("6785","")</f>
        <v>6785</v>
      </c>
      <c r="G464" t="s">
        <v>824</v>
      </c>
      <c r="H464" t="s">
        <v>841</v>
      </c>
      <c r="I464" t="s">
        <v>842</v>
      </c>
      <c r="J464" t="str">
        <f t="shared" si="54"/>
        <v>081205</v>
      </c>
      <c r="K464" t="s">
        <v>22</v>
      </c>
      <c r="L464" t="s">
        <v>23</v>
      </c>
      <c r="M464" t="str">
        <f t="shared" si="53"/>
        <v>1</v>
      </c>
      <c r="O464" t="str">
        <f>CONCATENATE("1 ","")</f>
        <v xml:space="preserve">1 </v>
      </c>
      <c r="P464">
        <v>39.15</v>
      </c>
      <c r="Q464" t="s">
        <v>24</v>
      </c>
    </row>
    <row r="465" spans="1:17" x14ac:dyDescent="0.25">
      <c r="A465" t="s">
        <v>17</v>
      </c>
      <c r="B465" s="1">
        <v>41718</v>
      </c>
      <c r="C465" t="s">
        <v>486</v>
      </c>
      <c r="D465" t="str">
        <f>CONCATENATE("0060003937","")</f>
        <v>0060003937</v>
      </c>
      <c r="E465" t="str">
        <f>CONCATENATE("0120512000690       ","")</f>
        <v xml:space="preserve">0120512000690       </v>
      </c>
      <c r="F465" t="str">
        <f>CONCATENATE("605354081","")</f>
        <v>605354081</v>
      </c>
      <c r="G465" t="s">
        <v>824</v>
      </c>
      <c r="H465" t="s">
        <v>843</v>
      </c>
      <c r="I465" t="s">
        <v>826</v>
      </c>
      <c r="J465" t="str">
        <f t="shared" si="54"/>
        <v>081205</v>
      </c>
      <c r="K465" t="s">
        <v>22</v>
      </c>
      <c r="L465" t="s">
        <v>23</v>
      </c>
      <c r="M465" t="str">
        <f t="shared" si="53"/>
        <v>1</v>
      </c>
      <c r="O465" t="str">
        <f>CONCATENATE("3 ","")</f>
        <v xml:space="preserve">3 </v>
      </c>
      <c r="P465">
        <v>100.15</v>
      </c>
      <c r="Q465" t="s">
        <v>24</v>
      </c>
    </row>
    <row r="466" spans="1:17" x14ac:dyDescent="0.25">
      <c r="A466" t="s">
        <v>17</v>
      </c>
      <c r="B466" s="1">
        <v>41718</v>
      </c>
      <c r="C466" t="s">
        <v>140</v>
      </c>
      <c r="D466" t="str">
        <f>CONCATENATE("0060011081","")</f>
        <v>0060011081</v>
      </c>
      <c r="E466" t="str">
        <f>CONCATENATE("0120512000705       ","")</f>
        <v xml:space="preserve">0120512000705       </v>
      </c>
      <c r="F466" t="str">
        <f>CONCATENATE("1133325","")</f>
        <v>1133325</v>
      </c>
      <c r="G466" t="s">
        <v>824</v>
      </c>
      <c r="H466" t="s">
        <v>844</v>
      </c>
      <c r="I466" t="s">
        <v>845</v>
      </c>
      <c r="J466" t="str">
        <f t="shared" si="54"/>
        <v>081205</v>
      </c>
      <c r="K466" t="s">
        <v>22</v>
      </c>
      <c r="L466" t="s">
        <v>23</v>
      </c>
      <c r="M466" t="str">
        <f t="shared" si="53"/>
        <v>1</v>
      </c>
      <c r="O466" t="str">
        <f t="shared" ref="O466:O497" si="55">CONCATENATE("1 ","")</f>
        <v xml:space="preserve">1 </v>
      </c>
      <c r="P466">
        <v>64.45</v>
      </c>
      <c r="Q466" t="s">
        <v>24</v>
      </c>
    </row>
    <row r="467" spans="1:17" x14ac:dyDescent="0.25">
      <c r="A467" t="s">
        <v>17</v>
      </c>
      <c r="B467" s="1">
        <v>41718</v>
      </c>
      <c r="C467" t="s">
        <v>486</v>
      </c>
      <c r="D467" t="str">
        <f>CONCATENATE("0060003957","")</f>
        <v>0060003957</v>
      </c>
      <c r="E467" t="str">
        <f>CONCATENATE("0120512000890       ","")</f>
        <v xml:space="preserve">0120512000890       </v>
      </c>
      <c r="F467" t="str">
        <f>CONCATENATE("605353897","")</f>
        <v>605353897</v>
      </c>
      <c r="G467" t="s">
        <v>824</v>
      </c>
      <c r="H467" t="s">
        <v>846</v>
      </c>
      <c r="I467" t="s">
        <v>826</v>
      </c>
      <c r="J467" t="str">
        <f t="shared" si="54"/>
        <v>081205</v>
      </c>
      <c r="K467" t="s">
        <v>22</v>
      </c>
      <c r="L467" t="s">
        <v>23</v>
      </c>
      <c r="M467" t="str">
        <f t="shared" si="53"/>
        <v>1</v>
      </c>
      <c r="O467" t="str">
        <f t="shared" si="55"/>
        <v xml:space="preserve">1 </v>
      </c>
      <c r="P467">
        <v>57.35</v>
      </c>
      <c r="Q467" t="s">
        <v>24</v>
      </c>
    </row>
    <row r="468" spans="1:17" x14ac:dyDescent="0.25">
      <c r="A468" t="s">
        <v>17</v>
      </c>
      <c r="B468" s="1">
        <v>41718</v>
      </c>
      <c r="C468" t="s">
        <v>140</v>
      </c>
      <c r="D468" t="str">
        <f>CONCATENATE("0060012081","")</f>
        <v>0060012081</v>
      </c>
      <c r="E468" t="str">
        <f>CONCATENATE("0120512001040       ","")</f>
        <v xml:space="preserve">0120512001040       </v>
      </c>
      <c r="F468" t="str">
        <f>CONCATENATE("605121124","")</f>
        <v>605121124</v>
      </c>
      <c r="G468" t="s">
        <v>824</v>
      </c>
      <c r="H468" t="s">
        <v>847</v>
      </c>
      <c r="I468" t="s">
        <v>848</v>
      </c>
      <c r="J468" t="str">
        <f>CONCATENATE("081201","")</f>
        <v>081201</v>
      </c>
      <c r="K468" t="s">
        <v>22</v>
      </c>
      <c r="L468" t="s">
        <v>23</v>
      </c>
      <c r="M468" t="str">
        <f t="shared" si="53"/>
        <v>1</v>
      </c>
      <c r="O468" t="str">
        <f t="shared" si="55"/>
        <v xml:space="preserve">1 </v>
      </c>
      <c r="P468">
        <v>27.8</v>
      </c>
      <c r="Q468" t="s">
        <v>24</v>
      </c>
    </row>
    <row r="469" spans="1:17" x14ac:dyDescent="0.25">
      <c r="A469" t="s">
        <v>17</v>
      </c>
      <c r="B469" s="1">
        <v>41718</v>
      </c>
      <c r="C469" t="s">
        <v>486</v>
      </c>
      <c r="D469" t="str">
        <f>CONCATENATE("0060003972","")</f>
        <v>0060003972</v>
      </c>
      <c r="E469" t="str">
        <f>CONCATENATE("0120512001080       ","")</f>
        <v xml:space="preserve">0120512001080       </v>
      </c>
      <c r="F469" t="str">
        <f>CONCATENATE("605743127","")</f>
        <v>605743127</v>
      </c>
      <c r="G469" t="s">
        <v>824</v>
      </c>
      <c r="H469" t="s">
        <v>849</v>
      </c>
      <c r="I469" t="s">
        <v>826</v>
      </c>
      <c r="J469" t="str">
        <f>CONCATENATE("081205","")</f>
        <v>081205</v>
      </c>
      <c r="K469" t="s">
        <v>22</v>
      </c>
      <c r="L469" t="s">
        <v>23</v>
      </c>
      <c r="M469" t="str">
        <f t="shared" si="53"/>
        <v>1</v>
      </c>
      <c r="O469" t="str">
        <f t="shared" si="55"/>
        <v xml:space="preserve">1 </v>
      </c>
      <c r="P469">
        <v>28.3</v>
      </c>
      <c r="Q469" t="s">
        <v>24</v>
      </c>
    </row>
    <row r="470" spans="1:17" x14ac:dyDescent="0.25">
      <c r="A470" t="s">
        <v>17</v>
      </c>
      <c r="B470" s="1">
        <v>41718</v>
      </c>
      <c r="C470" t="s">
        <v>794</v>
      </c>
      <c r="D470" t="str">
        <f>CONCATENATE("0060004006","")</f>
        <v>0060004006</v>
      </c>
      <c r="E470" t="str">
        <f>CONCATENATE("0120513000320       ","")</f>
        <v xml:space="preserve">0120513000320       </v>
      </c>
      <c r="F470" t="str">
        <f>CONCATENATE("605055008","")</f>
        <v>605055008</v>
      </c>
      <c r="G470" t="s">
        <v>850</v>
      </c>
      <c r="H470" t="s">
        <v>851</v>
      </c>
      <c r="I470" t="s">
        <v>852</v>
      </c>
      <c r="J470" t="str">
        <f t="shared" ref="J470:J475" si="56">CONCATENATE("081204","")</f>
        <v>081204</v>
      </c>
      <c r="K470" t="s">
        <v>22</v>
      </c>
      <c r="L470" t="s">
        <v>23</v>
      </c>
      <c r="M470" t="str">
        <f t="shared" si="53"/>
        <v>1</v>
      </c>
      <c r="O470" t="str">
        <f t="shared" si="55"/>
        <v xml:space="preserve">1 </v>
      </c>
      <c r="P470">
        <v>25.25</v>
      </c>
      <c r="Q470" t="s">
        <v>24</v>
      </c>
    </row>
    <row r="471" spans="1:17" x14ac:dyDescent="0.25">
      <c r="A471" t="s">
        <v>17</v>
      </c>
      <c r="B471" s="1">
        <v>41718</v>
      </c>
      <c r="C471" t="s">
        <v>794</v>
      </c>
      <c r="D471" t="str">
        <f>CONCATENATE("0060004018","")</f>
        <v>0060004018</v>
      </c>
      <c r="E471" t="str">
        <f>CONCATENATE("0120513000430       ","")</f>
        <v xml:space="preserve">0120513000430       </v>
      </c>
      <c r="F471" t="str">
        <f>CONCATENATE("605352729","")</f>
        <v>605352729</v>
      </c>
      <c r="G471" t="s">
        <v>850</v>
      </c>
      <c r="H471" t="s">
        <v>853</v>
      </c>
      <c r="I471" t="s">
        <v>854</v>
      </c>
      <c r="J471" t="str">
        <f t="shared" si="56"/>
        <v>081204</v>
      </c>
      <c r="K471" t="s">
        <v>22</v>
      </c>
      <c r="L471" t="s">
        <v>23</v>
      </c>
      <c r="M471" t="str">
        <f t="shared" si="53"/>
        <v>1</v>
      </c>
      <c r="O471" t="str">
        <f t="shared" si="55"/>
        <v xml:space="preserve">1 </v>
      </c>
      <c r="P471">
        <v>28.4</v>
      </c>
      <c r="Q471" t="s">
        <v>24</v>
      </c>
    </row>
    <row r="472" spans="1:17" x14ac:dyDescent="0.25">
      <c r="A472" t="s">
        <v>17</v>
      </c>
      <c r="B472" s="1">
        <v>41718</v>
      </c>
      <c r="C472" t="s">
        <v>794</v>
      </c>
      <c r="D472" t="str">
        <f>CONCATENATE("0060010867","")</f>
        <v>0060010867</v>
      </c>
      <c r="E472" t="str">
        <f>CONCATENATE("0120513000525       ","")</f>
        <v xml:space="preserve">0120513000525       </v>
      </c>
      <c r="F472" t="str">
        <f>CONCATENATE("6790","")</f>
        <v>6790</v>
      </c>
      <c r="G472" t="s">
        <v>850</v>
      </c>
      <c r="H472" t="s">
        <v>855</v>
      </c>
      <c r="I472" t="s">
        <v>856</v>
      </c>
      <c r="J472" t="str">
        <f t="shared" si="56"/>
        <v>081204</v>
      </c>
      <c r="K472" t="s">
        <v>22</v>
      </c>
      <c r="L472" t="s">
        <v>23</v>
      </c>
      <c r="M472" t="str">
        <f t="shared" si="53"/>
        <v>1</v>
      </c>
      <c r="O472" t="str">
        <f t="shared" si="55"/>
        <v xml:space="preserve">1 </v>
      </c>
      <c r="P472">
        <v>26.45</v>
      </c>
      <c r="Q472" t="s">
        <v>24</v>
      </c>
    </row>
    <row r="473" spans="1:17" x14ac:dyDescent="0.25">
      <c r="A473" t="s">
        <v>17</v>
      </c>
      <c r="B473" s="1">
        <v>41718</v>
      </c>
      <c r="C473" t="s">
        <v>794</v>
      </c>
      <c r="D473" t="str">
        <f>CONCATENATE("0060018087","")</f>
        <v>0060018087</v>
      </c>
      <c r="E473" t="str">
        <f>CONCATENATE("0120513000536       ","")</f>
        <v xml:space="preserve">0120513000536       </v>
      </c>
      <c r="F473" t="str">
        <f>CONCATENATE("2121843","")</f>
        <v>2121843</v>
      </c>
      <c r="G473" t="s">
        <v>850</v>
      </c>
      <c r="H473" t="s">
        <v>857</v>
      </c>
      <c r="I473" t="s">
        <v>858</v>
      </c>
      <c r="J473" t="str">
        <f t="shared" si="56"/>
        <v>081204</v>
      </c>
      <c r="K473" t="s">
        <v>22</v>
      </c>
      <c r="L473" t="s">
        <v>23</v>
      </c>
      <c r="M473" t="str">
        <f t="shared" si="53"/>
        <v>1</v>
      </c>
      <c r="O473" t="str">
        <f t="shared" si="55"/>
        <v xml:space="preserve">1 </v>
      </c>
      <c r="P473">
        <v>11.75</v>
      </c>
      <c r="Q473" t="s">
        <v>24</v>
      </c>
    </row>
    <row r="474" spans="1:17" x14ac:dyDescent="0.25">
      <c r="A474" t="s">
        <v>17</v>
      </c>
      <c r="B474" s="1">
        <v>41718</v>
      </c>
      <c r="C474" t="s">
        <v>794</v>
      </c>
      <c r="D474" t="str">
        <f>CONCATENATE("0060004034","")</f>
        <v>0060004034</v>
      </c>
      <c r="E474" t="str">
        <f>CONCATENATE("0120513000560       ","")</f>
        <v xml:space="preserve">0120513000560       </v>
      </c>
      <c r="F474" t="str">
        <f>CONCATENATE("605055012","")</f>
        <v>605055012</v>
      </c>
      <c r="G474" t="s">
        <v>850</v>
      </c>
      <c r="H474" t="s">
        <v>859</v>
      </c>
      <c r="I474" t="s">
        <v>860</v>
      </c>
      <c r="J474" t="str">
        <f t="shared" si="56"/>
        <v>081204</v>
      </c>
      <c r="K474" t="s">
        <v>22</v>
      </c>
      <c r="L474" t="s">
        <v>23</v>
      </c>
      <c r="M474" t="str">
        <f t="shared" si="53"/>
        <v>1</v>
      </c>
      <c r="O474" t="str">
        <f t="shared" si="55"/>
        <v xml:space="preserve">1 </v>
      </c>
      <c r="P474">
        <v>11.35</v>
      </c>
      <c r="Q474" t="s">
        <v>24</v>
      </c>
    </row>
    <row r="475" spans="1:17" x14ac:dyDescent="0.25">
      <c r="A475" t="s">
        <v>17</v>
      </c>
      <c r="B475" s="1">
        <v>41718</v>
      </c>
      <c r="C475" t="s">
        <v>794</v>
      </c>
      <c r="D475" t="str">
        <f>CONCATENATE("0060004035","")</f>
        <v>0060004035</v>
      </c>
      <c r="E475" t="str">
        <f>CONCATENATE("0120513000570       ","")</f>
        <v xml:space="preserve">0120513000570       </v>
      </c>
      <c r="F475" t="str">
        <f>CONCATENATE("17410987","")</f>
        <v>17410987</v>
      </c>
      <c r="G475" t="s">
        <v>850</v>
      </c>
      <c r="H475" t="s">
        <v>861</v>
      </c>
      <c r="I475" t="s">
        <v>854</v>
      </c>
      <c r="J475" t="str">
        <f t="shared" si="56"/>
        <v>081204</v>
      </c>
      <c r="K475" t="s">
        <v>22</v>
      </c>
      <c r="L475" t="s">
        <v>23</v>
      </c>
      <c r="M475" t="str">
        <f t="shared" si="53"/>
        <v>1</v>
      </c>
      <c r="O475" t="str">
        <f t="shared" si="55"/>
        <v xml:space="preserve">1 </v>
      </c>
      <c r="P475">
        <v>27</v>
      </c>
      <c r="Q475" t="s">
        <v>24</v>
      </c>
    </row>
    <row r="476" spans="1:17" x14ac:dyDescent="0.25">
      <c r="A476" t="s">
        <v>17</v>
      </c>
      <c r="B476" s="1">
        <v>41718</v>
      </c>
      <c r="C476" t="s">
        <v>786</v>
      </c>
      <c r="D476" t="str">
        <f>CONCATENATE("0060015344","")</f>
        <v>0060015344</v>
      </c>
      <c r="E476" t="str">
        <f>CONCATENATE("0120513000690       ","")</f>
        <v xml:space="preserve">0120513000690       </v>
      </c>
      <c r="F476" t="str">
        <f>CONCATENATE("605879600","")</f>
        <v>605879600</v>
      </c>
      <c r="G476" t="s">
        <v>850</v>
      </c>
      <c r="H476" t="s">
        <v>862</v>
      </c>
      <c r="I476" t="s">
        <v>863</v>
      </c>
      <c r="J476" t="str">
        <f>CONCATENATE("081210","")</f>
        <v>081210</v>
      </c>
      <c r="K476" t="s">
        <v>22</v>
      </c>
      <c r="L476" t="s">
        <v>23</v>
      </c>
      <c r="M476" t="str">
        <f t="shared" si="53"/>
        <v>1</v>
      </c>
      <c r="O476" t="str">
        <f t="shared" si="55"/>
        <v xml:space="preserve">1 </v>
      </c>
      <c r="P476">
        <v>79.2</v>
      </c>
      <c r="Q476" t="s">
        <v>24</v>
      </c>
    </row>
    <row r="477" spans="1:17" x14ac:dyDescent="0.25">
      <c r="A477" t="s">
        <v>17</v>
      </c>
      <c r="B477" s="1">
        <v>41718</v>
      </c>
      <c r="C477" t="s">
        <v>794</v>
      </c>
      <c r="D477" t="str">
        <f>CONCATENATE("0060004047","")</f>
        <v>0060004047</v>
      </c>
      <c r="E477" t="str">
        <f>CONCATENATE("0120513000700       ","")</f>
        <v xml:space="preserve">0120513000700       </v>
      </c>
      <c r="F477" t="str">
        <f>CONCATENATE("16980699","")</f>
        <v>16980699</v>
      </c>
      <c r="G477" t="s">
        <v>850</v>
      </c>
      <c r="H477" t="s">
        <v>864</v>
      </c>
      <c r="I477" t="s">
        <v>860</v>
      </c>
      <c r="J477" t="str">
        <f>CONCATENATE("081204","")</f>
        <v>081204</v>
      </c>
      <c r="K477" t="s">
        <v>22</v>
      </c>
      <c r="L477" t="s">
        <v>23</v>
      </c>
      <c r="M477" t="str">
        <f t="shared" si="53"/>
        <v>1</v>
      </c>
      <c r="O477" t="str">
        <f t="shared" si="55"/>
        <v xml:space="preserve">1 </v>
      </c>
      <c r="P477">
        <v>27</v>
      </c>
      <c r="Q477" t="s">
        <v>24</v>
      </c>
    </row>
    <row r="478" spans="1:17" x14ac:dyDescent="0.25">
      <c r="A478" t="s">
        <v>17</v>
      </c>
      <c r="B478" s="1">
        <v>41718</v>
      </c>
      <c r="C478" t="s">
        <v>794</v>
      </c>
      <c r="D478" t="str">
        <f>CONCATENATE("0060004051","")</f>
        <v>0060004051</v>
      </c>
      <c r="E478" t="str">
        <f>CONCATENATE("0120513000730       ","")</f>
        <v xml:space="preserve">0120513000730       </v>
      </c>
      <c r="F478" t="str">
        <f>CONCATENATE("01671800","")</f>
        <v>01671800</v>
      </c>
      <c r="G478" t="s">
        <v>850</v>
      </c>
      <c r="H478" t="s">
        <v>865</v>
      </c>
      <c r="I478" t="s">
        <v>854</v>
      </c>
      <c r="J478" t="str">
        <f>CONCATENATE("081204","")</f>
        <v>081204</v>
      </c>
      <c r="K478" t="s">
        <v>22</v>
      </c>
      <c r="L478" t="s">
        <v>23</v>
      </c>
      <c r="M478" t="str">
        <f t="shared" si="53"/>
        <v>1</v>
      </c>
      <c r="O478" t="str">
        <f t="shared" si="55"/>
        <v xml:space="preserve">1 </v>
      </c>
      <c r="P478">
        <v>12.25</v>
      </c>
      <c r="Q478" t="s">
        <v>24</v>
      </c>
    </row>
    <row r="479" spans="1:17" x14ac:dyDescent="0.25">
      <c r="A479" t="s">
        <v>17</v>
      </c>
      <c r="B479" s="1">
        <v>41718</v>
      </c>
      <c r="C479" t="s">
        <v>794</v>
      </c>
      <c r="D479" t="str">
        <f>CONCATENATE("0060009350","")</f>
        <v>0060009350</v>
      </c>
      <c r="E479" t="str">
        <f>CONCATENATE("0120513000735       ","")</f>
        <v xml:space="preserve">0120513000735       </v>
      </c>
      <c r="F479" t="str">
        <f>CONCATENATE("00551362","")</f>
        <v>00551362</v>
      </c>
      <c r="G479" t="s">
        <v>850</v>
      </c>
      <c r="H479" t="s">
        <v>866</v>
      </c>
      <c r="I479" t="s">
        <v>867</v>
      </c>
      <c r="J479" t="str">
        <f>CONCATENATE("081204","")</f>
        <v>081204</v>
      </c>
      <c r="K479" t="s">
        <v>22</v>
      </c>
      <c r="L479" t="s">
        <v>23</v>
      </c>
      <c r="M479" t="str">
        <f t="shared" si="53"/>
        <v>1</v>
      </c>
      <c r="O479" t="str">
        <f t="shared" si="55"/>
        <v xml:space="preserve">1 </v>
      </c>
      <c r="P479">
        <v>16.7</v>
      </c>
      <c r="Q479" t="s">
        <v>24</v>
      </c>
    </row>
    <row r="480" spans="1:17" x14ac:dyDescent="0.25">
      <c r="A480" t="s">
        <v>17</v>
      </c>
      <c r="B480" s="1">
        <v>41718</v>
      </c>
      <c r="C480" t="s">
        <v>786</v>
      </c>
      <c r="D480" t="str">
        <f>CONCATENATE("0060004061","")</f>
        <v>0060004061</v>
      </c>
      <c r="E480" t="str">
        <f>CONCATENATE("0120514000010       ","")</f>
        <v xml:space="preserve">0120514000010       </v>
      </c>
      <c r="F480" t="str">
        <f>CONCATENATE("605084728","")</f>
        <v>605084728</v>
      </c>
      <c r="G480" t="s">
        <v>868</v>
      </c>
      <c r="H480" t="s">
        <v>869</v>
      </c>
      <c r="I480" t="s">
        <v>870</v>
      </c>
      <c r="J480" t="str">
        <f>CONCATENATE("081210","")</f>
        <v>081210</v>
      </c>
      <c r="K480" t="s">
        <v>22</v>
      </c>
      <c r="L480" t="s">
        <v>23</v>
      </c>
      <c r="M480" t="str">
        <f t="shared" si="53"/>
        <v>1</v>
      </c>
      <c r="O480" t="str">
        <f t="shared" si="55"/>
        <v xml:space="preserve">1 </v>
      </c>
      <c r="P480">
        <v>90.6</v>
      </c>
      <c r="Q480" t="s">
        <v>24</v>
      </c>
    </row>
    <row r="481" spans="1:17" x14ac:dyDescent="0.25">
      <c r="A481" t="s">
        <v>17</v>
      </c>
      <c r="B481" s="1">
        <v>41718</v>
      </c>
      <c r="C481" t="s">
        <v>786</v>
      </c>
      <c r="D481" t="str">
        <f>CONCATENATE("0060004064","")</f>
        <v>0060004064</v>
      </c>
      <c r="E481" t="str">
        <f>CONCATENATE("0120514000030       ","")</f>
        <v xml:space="preserve">0120514000030       </v>
      </c>
      <c r="F481" t="str">
        <f>CONCATENATE("605054910","")</f>
        <v>605054910</v>
      </c>
      <c r="G481" t="s">
        <v>868</v>
      </c>
      <c r="H481" t="s">
        <v>871</v>
      </c>
      <c r="I481" t="s">
        <v>870</v>
      </c>
      <c r="J481" t="str">
        <f>CONCATENATE("081210","")</f>
        <v>081210</v>
      </c>
      <c r="K481" t="s">
        <v>22</v>
      </c>
      <c r="L481" t="s">
        <v>23</v>
      </c>
      <c r="M481" t="str">
        <f t="shared" si="53"/>
        <v>1</v>
      </c>
      <c r="O481" t="str">
        <f t="shared" si="55"/>
        <v xml:space="preserve">1 </v>
      </c>
      <c r="P481">
        <v>18.850000000000001</v>
      </c>
      <c r="Q481" t="s">
        <v>24</v>
      </c>
    </row>
    <row r="482" spans="1:17" x14ac:dyDescent="0.25">
      <c r="A482" t="s">
        <v>17</v>
      </c>
      <c r="B482" s="1">
        <v>41718</v>
      </c>
      <c r="C482" t="s">
        <v>140</v>
      </c>
      <c r="D482" t="str">
        <f>CONCATENATE("0060012315","")</f>
        <v>0060012315</v>
      </c>
      <c r="E482" t="str">
        <f>CONCATENATE("0120515000042       ","")</f>
        <v xml:space="preserve">0120515000042       </v>
      </c>
      <c r="F482" t="str">
        <f>CONCATENATE("605121645","")</f>
        <v>605121645</v>
      </c>
      <c r="G482" t="s">
        <v>872</v>
      </c>
      <c r="H482" t="s">
        <v>873</v>
      </c>
      <c r="I482" t="s">
        <v>874</v>
      </c>
      <c r="J482" t="str">
        <f>CONCATENATE("081201","")</f>
        <v>081201</v>
      </c>
      <c r="K482" t="s">
        <v>22</v>
      </c>
      <c r="L482" t="s">
        <v>23</v>
      </c>
      <c r="M482" t="str">
        <f t="shared" si="53"/>
        <v>1</v>
      </c>
      <c r="O482" t="str">
        <f t="shared" si="55"/>
        <v xml:space="preserve">1 </v>
      </c>
      <c r="P482">
        <v>177.85</v>
      </c>
      <c r="Q482" t="s">
        <v>24</v>
      </c>
    </row>
    <row r="483" spans="1:17" x14ac:dyDescent="0.25">
      <c r="A483" t="s">
        <v>17</v>
      </c>
      <c r="B483" s="1">
        <v>41718</v>
      </c>
      <c r="C483" t="s">
        <v>486</v>
      </c>
      <c r="D483" t="str">
        <f>CONCATENATE("0060004091","")</f>
        <v>0060004091</v>
      </c>
      <c r="E483" t="str">
        <f>CONCATENATE("0120515000085       ","")</f>
        <v xml:space="preserve">0120515000085       </v>
      </c>
      <c r="F483" t="str">
        <f>CONCATENATE("605390842","")</f>
        <v>605390842</v>
      </c>
      <c r="G483" t="s">
        <v>872</v>
      </c>
      <c r="H483" t="s">
        <v>656</v>
      </c>
      <c r="I483" t="s">
        <v>875</v>
      </c>
      <c r="J483" t="str">
        <f>CONCATENATE("081205","")</f>
        <v>081205</v>
      </c>
      <c r="K483" t="s">
        <v>22</v>
      </c>
      <c r="L483" t="s">
        <v>23</v>
      </c>
      <c r="M483" t="str">
        <f t="shared" si="53"/>
        <v>1</v>
      </c>
      <c r="O483" t="str">
        <f t="shared" si="55"/>
        <v xml:space="preserve">1 </v>
      </c>
      <c r="P483">
        <v>22.75</v>
      </c>
      <c r="Q483" t="s">
        <v>24</v>
      </c>
    </row>
    <row r="484" spans="1:17" x14ac:dyDescent="0.25">
      <c r="A484" t="s">
        <v>17</v>
      </c>
      <c r="B484" s="1">
        <v>41718</v>
      </c>
      <c r="C484" t="s">
        <v>486</v>
      </c>
      <c r="D484" t="str">
        <f>CONCATENATE("0060004095","")</f>
        <v>0060004095</v>
      </c>
      <c r="E484" t="str">
        <f>CONCATENATE("0120515000115       ","")</f>
        <v xml:space="preserve">0120515000115       </v>
      </c>
      <c r="F484" t="str">
        <f>CONCATENATE("2150055","")</f>
        <v>2150055</v>
      </c>
      <c r="G484" t="s">
        <v>872</v>
      </c>
      <c r="H484" t="s">
        <v>876</v>
      </c>
      <c r="I484" t="s">
        <v>877</v>
      </c>
      <c r="J484" t="str">
        <f>CONCATENATE("081205","")</f>
        <v>081205</v>
      </c>
      <c r="K484" t="s">
        <v>22</v>
      </c>
      <c r="L484" t="s">
        <v>23</v>
      </c>
      <c r="M484" t="str">
        <f t="shared" si="53"/>
        <v>1</v>
      </c>
      <c r="O484" t="str">
        <f t="shared" si="55"/>
        <v xml:space="preserve">1 </v>
      </c>
      <c r="P484">
        <v>17.3</v>
      </c>
      <c r="Q484" t="s">
        <v>24</v>
      </c>
    </row>
    <row r="485" spans="1:17" x14ac:dyDescent="0.25">
      <c r="A485" t="s">
        <v>17</v>
      </c>
      <c r="B485" s="1">
        <v>41718</v>
      </c>
      <c r="C485" t="s">
        <v>486</v>
      </c>
      <c r="D485" t="str">
        <f>CONCATENATE("0060004098","")</f>
        <v>0060004098</v>
      </c>
      <c r="E485" t="str">
        <f>CONCATENATE("0120515000130       ","")</f>
        <v xml:space="preserve">0120515000130       </v>
      </c>
      <c r="F485" t="str">
        <f>CONCATENATE("605390857","")</f>
        <v>605390857</v>
      </c>
      <c r="G485" t="s">
        <v>872</v>
      </c>
      <c r="H485" t="s">
        <v>878</v>
      </c>
      <c r="I485" t="s">
        <v>875</v>
      </c>
      <c r="J485" t="str">
        <f>CONCATENATE("081205","")</f>
        <v>081205</v>
      </c>
      <c r="K485" t="s">
        <v>22</v>
      </c>
      <c r="L485" t="s">
        <v>23</v>
      </c>
      <c r="M485" t="str">
        <f t="shared" si="53"/>
        <v>1</v>
      </c>
      <c r="O485" t="str">
        <f t="shared" si="55"/>
        <v xml:space="preserve">1 </v>
      </c>
      <c r="P485">
        <v>19.850000000000001</v>
      </c>
      <c r="Q485" t="s">
        <v>24</v>
      </c>
    </row>
    <row r="486" spans="1:17" x14ac:dyDescent="0.25">
      <c r="A486" t="s">
        <v>17</v>
      </c>
      <c r="B486" s="1">
        <v>41718</v>
      </c>
      <c r="C486" t="s">
        <v>140</v>
      </c>
      <c r="D486" t="str">
        <f>CONCATENATE("0060012165","")</f>
        <v>0060012165</v>
      </c>
      <c r="E486" t="str">
        <f>CONCATENATE("0120515000132       ","")</f>
        <v xml:space="preserve">0120515000132       </v>
      </c>
      <c r="F486" t="str">
        <f>CONCATENATE("605114506","")</f>
        <v>605114506</v>
      </c>
      <c r="G486" t="s">
        <v>872</v>
      </c>
      <c r="H486" t="s">
        <v>879</v>
      </c>
      <c r="I486" t="s">
        <v>874</v>
      </c>
      <c r="J486" t="str">
        <f>CONCATENATE("081201","")</f>
        <v>081201</v>
      </c>
      <c r="K486" t="s">
        <v>22</v>
      </c>
      <c r="L486" t="s">
        <v>23</v>
      </c>
      <c r="M486" t="str">
        <f t="shared" si="53"/>
        <v>1</v>
      </c>
      <c r="O486" t="str">
        <f t="shared" si="55"/>
        <v xml:space="preserve">1 </v>
      </c>
      <c r="P486">
        <v>24.75</v>
      </c>
      <c r="Q486" t="s">
        <v>24</v>
      </c>
    </row>
    <row r="487" spans="1:17" x14ac:dyDescent="0.25">
      <c r="A487" t="s">
        <v>17</v>
      </c>
      <c r="B487" s="1">
        <v>41718</v>
      </c>
      <c r="C487" t="s">
        <v>486</v>
      </c>
      <c r="D487" t="str">
        <f>CONCATENATE("0060015801","")</f>
        <v>0060015801</v>
      </c>
      <c r="E487" t="str">
        <f>CONCATENATE("0120515000156       ","")</f>
        <v xml:space="preserve">0120515000156       </v>
      </c>
      <c r="F487" t="str">
        <f>CONCATENATE("1672187","")</f>
        <v>1672187</v>
      </c>
      <c r="G487" t="s">
        <v>872</v>
      </c>
      <c r="H487" t="s">
        <v>880</v>
      </c>
      <c r="I487" t="s">
        <v>881</v>
      </c>
      <c r="J487" t="str">
        <f t="shared" ref="J487:J501" si="57">CONCATENATE("081205","")</f>
        <v>081205</v>
      </c>
      <c r="K487" t="s">
        <v>22</v>
      </c>
      <c r="L487" t="s">
        <v>23</v>
      </c>
      <c r="M487" t="str">
        <f t="shared" si="53"/>
        <v>1</v>
      </c>
      <c r="O487" t="str">
        <f t="shared" si="55"/>
        <v xml:space="preserve">1 </v>
      </c>
      <c r="P487">
        <v>11.8</v>
      </c>
      <c r="Q487" t="s">
        <v>24</v>
      </c>
    </row>
    <row r="488" spans="1:17" x14ac:dyDescent="0.25">
      <c r="A488" t="s">
        <v>17</v>
      </c>
      <c r="B488" s="1">
        <v>41718</v>
      </c>
      <c r="C488" t="s">
        <v>486</v>
      </c>
      <c r="D488" t="str">
        <f>CONCATENATE("0060004112","")</f>
        <v>0060004112</v>
      </c>
      <c r="E488" t="str">
        <f>CONCATENATE("0120515000235       ","")</f>
        <v xml:space="preserve">0120515000235       </v>
      </c>
      <c r="F488" t="str">
        <f>CONCATENATE("605390856","")</f>
        <v>605390856</v>
      </c>
      <c r="G488" t="s">
        <v>872</v>
      </c>
      <c r="H488" t="s">
        <v>882</v>
      </c>
      <c r="I488" t="s">
        <v>877</v>
      </c>
      <c r="J488" t="str">
        <f t="shared" si="57"/>
        <v>081205</v>
      </c>
      <c r="K488" t="s">
        <v>22</v>
      </c>
      <c r="L488" t="s">
        <v>23</v>
      </c>
      <c r="M488" t="str">
        <f t="shared" si="53"/>
        <v>1</v>
      </c>
      <c r="O488" t="str">
        <f t="shared" si="55"/>
        <v xml:space="preserve">1 </v>
      </c>
      <c r="P488">
        <v>18.75</v>
      </c>
      <c r="Q488" t="s">
        <v>24</v>
      </c>
    </row>
    <row r="489" spans="1:17" x14ac:dyDescent="0.25">
      <c r="A489" t="s">
        <v>17</v>
      </c>
      <c r="B489" s="1">
        <v>41718</v>
      </c>
      <c r="C489" t="s">
        <v>486</v>
      </c>
      <c r="D489" t="str">
        <f>CONCATENATE("0060004113","")</f>
        <v>0060004113</v>
      </c>
      <c r="E489" t="str">
        <f>CONCATENATE("0120515000240       ","")</f>
        <v xml:space="preserve">0120515000240       </v>
      </c>
      <c r="F489" t="str">
        <f>CONCATENATE("16980732","")</f>
        <v>16980732</v>
      </c>
      <c r="G489" t="s">
        <v>872</v>
      </c>
      <c r="H489" t="s">
        <v>883</v>
      </c>
      <c r="I489" t="s">
        <v>877</v>
      </c>
      <c r="J489" t="str">
        <f t="shared" si="57"/>
        <v>081205</v>
      </c>
      <c r="K489" t="s">
        <v>22</v>
      </c>
      <c r="L489" t="s">
        <v>23</v>
      </c>
      <c r="M489" t="str">
        <f t="shared" si="53"/>
        <v>1</v>
      </c>
      <c r="O489" t="str">
        <f t="shared" si="55"/>
        <v xml:space="preserve">1 </v>
      </c>
      <c r="P489">
        <v>12.25</v>
      </c>
      <c r="Q489" t="s">
        <v>24</v>
      </c>
    </row>
    <row r="490" spans="1:17" x14ac:dyDescent="0.25">
      <c r="A490" t="s">
        <v>17</v>
      </c>
      <c r="B490" s="1">
        <v>41718</v>
      </c>
      <c r="C490" t="s">
        <v>486</v>
      </c>
      <c r="D490" t="str">
        <f>CONCATENATE("0060017236","")</f>
        <v>0060017236</v>
      </c>
      <c r="E490" t="str">
        <f>CONCATENATE("0120515000267       ","")</f>
        <v xml:space="preserve">0120515000267       </v>
      </c>
      <c r="F490" t="str">
        <f>CONCATENATE("1871342","")</f>
        <v>1871342</v>
      </c>
      <c r="G490" t="s">
        <v>872</v>
      </c>
      <c r="H490" t="s">
        <v>884</v>
      </c>
      <c r="I490" t="s">
        <v>885</v>
      </c>
      <c r="J490" t="str">
        <f t="shared" si="57"/>
        <v>081205</v>
      </c>
      <c r="K490" t="s">
        <v>22</v>
      </c>
      <c r="L490" t="s">
        <v>23</v>
      </c>
      <c r="M490" t="str">
        <f t="shared" si="53"/>
        <v>1</v>
      </c>
      <c r="O490" t="str">
        <f t="shared" si="55"/>
        <v xml:space="preserve">1 </v>
      </c>
      <c r="P490">
        <v>22.45</v>
      </c>
      <c r="Q490" t="s">
        <v>24</v>
      </c>
    </row>
    <row r="491" spans="1:17" x14ac:dyDescent="0.25">
      <c r="A491" t="s">
        <v>17</v>
      </c>
      <c r="B491" s="1">
        <v>41718</v>
      </c>
      <c r="C491" t="s">
        <v>486</v>
      </c>
      <c r="D491" t="str">
        <f>CONCATENATE("0060004120","")</f>
        <v>0060004120</v>
      </c>
      <c r="E491" t="str">
        <f>CONCATENATE("0120515000285       ","")</f>
        <v xml:space="preserve">0120515000285       </v>
      </c>
      <c r="F491" t="str">
        <f>CONCATENATE("605054686","")</f>
        <v>605054686</v>
      </c>
      <c r="G491" t="s">
        <v>872</v>
      </c>
      <c r="H491" t="s">
        <v>886</v>
      </c>
      <c r="I491" t="s">
        <v>877</v>
      </c>
      <c r="J491" t="str">
        <f t="shared" si="57"/>
        <v>081205</v>
      </c>
      <c r="K491" t="s">
        <v>22</v>
      </c>
      <c r="L491" t="s">
        <v>23</v>
      </c>
      <c r="M491" t="str">
        <f t="shared" si="53"/>
        <v>1</v>
      </c>
      <c r="O491" t="str">
        <f t="shared" si="55"/>
        <v xml:space="preserve">1 </v>
      </c>
      <c r="P491">
        <v>29.85</v>
      </c>
      <c r="Q491" t="s">
        <v>24</v>
      </c>
    </row>
    <row r="492" spans="1:17" x14ac:dyDescent="0.25">
      <c r="A492" t="s">
        <v>17</v>
      </c>
      <c r="B492" s="1">
        <v>41718</v>
      </c>
      <c r="C492" t="s">
        <v>486</v>
      </c>
      <c r="D492" t="str">
        <f>CONCATENATE("0060008150","")</f>
        <v>0060008150</v>
      </c>
      <c r="E492" t="str">
        <f>CONCATENATE("0120515000291       ","")</f>
        <v xml:space="preserve">0120515000291       </v>
      </c>
      <c r="F492" t="str">
        <f>CONCATENATE("605754180","")</f>
        <v>605754180</v>
      </c>
      <c r="G492" t="s">
        <v>872</v>
      </c>
      <c r="H492" t="s">
        <v>887</v>
      </c>
      <c r="I492" t="s">
        <v>877</v>
      </c>
      <c r="J492" t="str">
        <f t="shared" si="57"/>
        <v>081205</v>
      </c>
      <c r="K492" t="s">
        <v>22</v>
      </c>
      <c r="L492" t="s">
        <v>23</v>
      </c>
      <c r="M492" t="str">
        <f t="shared" ref="M492:M514" si="58">CONCATENATE("1","")</f>
        <v>1</v>
      </c>
      <c r="O492" t="str">
        <f t="shared" si="55"/>
        <v xml:space="preserve">1 </v>
      </c>
      <c r="P492">
        <v>28.75</v>
      </c>
      <c r="Q492" t="s">
        <v>24</v>
      </c>
    </row>
    <row r="493" spans="1:17" x14ac:dyDescent="0.25">
      <c r="A493" t="s">
        <v>17</v>
      </c>
      <c r="B493" s="1">
        <v>41718</v>
      </c>
      <c r="C493" t="s">
        <v>486</v>
      </c>
      <c r="D493" t="str">
        <f>CONCATENATE("0060004122","")</f>
        <v>0060004122</v>
      </c>
      <c r="E493" t="str">
        <f>CONCATENATE("0120515000292       ","")</f>
        <v xml:space="preserve">0120515000292       </v>
      </c>
      <c r="F493" t="str">
        <f>CONCATENATE("04003714","")</f>
        <v>04003714</v>
      </c>
      <c r="G493" t="s">
        <v>872</v>
      </c>
      <c r="H493" t="s">
        <v>888</v>
      </c>
      <c r="I493" t="s">
        <v>889</v>
      </c>
      <c r="J493" t="str">
        <f t="shared" si="57"/>
        <v>081205</v>
      </c>
      <c r="K493" t="s">
        <v>22</v>
      </c>
      <c r="L493" t="s">
        <v>23</v>
      </c>
      <c r="M493" t="str">
        <f t="shared" si="58"/>
        <v>1</v>
      </c>
      <c r="O493" t="str">
        <f t="shared" si="55"/>
        <v xml:space="preserve">1 </v>
      </c>
      <c r="P493">
        <v>14.5</v>
      </c>
      <c r="Q493" t="s">
        <v>24</v>
      </c>
    </row>
    <row r="494" spans="1:17" x14ac:dyDescent="0.25">
      <c r="A494" t="s">
        <v>17</v>
      </c>
      <c r="B494" s="1">
        <v>41718</v>
      </c>
      <c r="C494" t="s">
        <v>486</v>
      </c>
      <c r="D494" t="str">
        <f>CONCATENATE("0060004127","")</f>
        <v>0060004127</v>
      </c>
      <c r="E494" t="str">
        <f>CONCATENATE("0120515000315       ","")</f>
        <v xml:space="preserve">0120515000315       </v>
      </c>
      <c r="F494" t="str">
        <f>CONCATENATE("606084512","")</f>
        <v>606084512</v>
      </c>
      <c r="G494" t="s">
        <v>890</v>
      </c>
      <c r="H494" t="s">
        <v>891</v>
      </c>
      <c r="I494" t="s">
        <v>877</v>
      </c>
      <c r="J494" t="str">
        <f t="shared" si="57"/>
        <v>081205</v>
      </c>
      <c r="K494" t="s">
        <v>22</v>
      </c>
      <c r="L494" t="s">
        <v>23</v>
      </c>
      <c r="M494" t="str">
        <f t="shared" si="58"/>
        <v>1</v>
      </c>
      <c r="O494" t="str">
        <f t="shared" si="55"/>
        <v xml:space="preserve">1 </v>
      </c>
      <c r="P494">
        <v>11.35</v>
      </c>
      <c r="Q494" t="s">
        <v>24</v>
      </c>
    </row>
    <row r="495" spans="1:17" x14ac:dyDescent="0.25">
      <c r="A495" t="s">
        <v>17</v>
      </c>
      <c r="B495" s="1">
        <v>41718</v>
      </c>
      <c r="C495" t="s">
        <v>486</v>
      </c>
      <c r="D495" t="str">
        <f>CONCATENATE("0060008957","")</f>
        <v>0060008957</v>
      </c>
      <c r="E495" t="str">
        <f>CONCATENATE("0120515000321       ","")</f>
        <v xml:space="preserve">0120515000321       </v>
      </c>
      <c r="F495" t="str">
        <f>CONCATENATE("02557652","")</f>
        <v>02557652</v>
      </c>
      <c r="G495" t="s">
        <v>872</v>
      </c>
      <c r="H495" t="s">
        <v>892</v>
      </c>
      <c r="I495" t="s">
        <v>893</v>
      </c>
      <c r="J495" t="str">
        <f t="shared" si="57"/>
        <v>081205</v>
      </c>
      <c r="K495" t="s">
        <v>22</v>
      </c>
      <c r="L495" t="s">
        <v>23</v>
      </c>
      <c r="M495" t="str">
        <f t="shared" si="58"/>
        <v>1</v>
      </c>
      <c r="O495" t="str">
        <f t="shared" si="55"/>
        <v xml:space="preserve">1 </v>
      </c>
      <c r="P495">
        <v>15.35</v>
      </c>
      <c r="Q495" t="s">
        <v>24</v>
      </c>
    </row>
    <row r="496" spans="1:17" x14ac:dyDescent="0.25">
      <c r="A496" t="s">
        <v>17</v>
      </c>
      <c r="B496" s="1">
        <v>41718</v>
      </c>
      <c r="C496" t="s">
        <v>486</v>
      </c>
      <c r="D496" t="str">
        <f>CONCATENATE("0060017696","")</f>
        <v>0060017696</v>
      </c>
      <c r="E496" t="str">
        <f>CONCATENATE("0120515000324       ","")</f>
        <v xml:space="preserve">0120515000324       </v>
      </c>
      <c r="F496" t="str">
        <f>CONCATENATE("2150453","")</f>
        <v>2150453</v>
      </c>
      <c r="G496" t="s">
        <v>894</v>
      </c>
      <c r="H496" t="s">
        <v>895</v>
      </c>
      <c r="I496" t="s">
        <v>896</v>
      </c>
      <c r="J496" t="str">
        <f t="shared" si="57"/>
        <v>081205</v>
      </c>
      <c r="K496" t="s">
        <v>22</v>
      </c>
      <c r="L496" t="s">
        <v>23</v>
      </c>
      <c r="M496" t="str">
        <f t="shared" si="58"/>
        <v>1</v>
      </c>
      <c r="O496" t="str">
        <f t="shared" si="55"/>
        <v xml:space="preserve">1 </v>
      </c>
      <c r="P496">
        <v>25.45</v>
      </c>
      <c r="Q496" t="s">
        <v>24</v>
      </c>
    </row>
    <row r="497" spans="1:17" x14ac:dyDescent="0.25">
      <c r="A497" t="s">
        <v>17</v>
      </c>
      <c r="B497" s="1">
        <v>41718</v>
      </c>
      <c r="C497" t="s">
        <v>486</v>
      </c>
      <c r="D497" t="str">
        <f>CONCATENATE("0060004133","")</f>
        <v>0060004133</v>
      </c>
      <c r="E497" t="str">
        <f>CONCATENATE("0120515000336       ","")</f>
        <v xml:space="preserve">0120515000336       </v>
      </c>
      <c r="F497" t="str">
        <f>CONCATENATE("4003056","")</f>
        <v>4003056</v>
      </c>
      <c r="G497" t="s">
        <v>872</v>
      </c>
      <c r="H497" t="s">
        <v>897</v>
      </c>
      <c r="I497" t="s">
        <v>898</v>
      </c>
      <c r="J497" t="str">
        <f t="shared" si="57"/>
        <v>081205</v>
      </c>
      <c r="K497" t="s">
        <v>22</v>
      </c>
      <c r="L497" t="s">
        <v>23</v>
      </c>
      <c r="M497" t="str">
        <f t="shared" si="58"/>
        <v>1</v>
      </c>
      <c r="O497" t="str">
        <f t="shared" si="55"/>
        <v xml:space="preserve">1 </v>
      </c>
      <c r="P497">
        <v>17.149999999999999</v>
      </c>
      <c r="Q497" t="s">
        <v>24</v>
      </c>
    </row>
    <row r="498" spans="1:17" x14ac:dyDescent="0.25">
      <c r="A498" t="s">
        <v>17</v>
      </c>
      <c r="B498" s="1">
        <v>41718</v>
      </c>
      <c r="C498" t="s">
        <v>486</v>
      </c>
      <c r="D498" t="str">
        <f>CONCATENATE("0060004160","")</f>
        <v>0060004160</v>
      </c>
      <c r="E498" t="str">
        <f>CONCATENATE("0120515000500       ","")</f>
        <v xml:space="preserve">0120515000500       </v>
      </c>
      <c r="F498" t="str">
        <f>CONCATENATE("2313853","")</f>
        <v>2313853</v>
      </c>
      <c r="G498" t="s">
        <v>872</v>
      </c>
      <c r="H498" t="s">
        <v>899</v>
      </c>
      <c r="I498" t="s">
        <v>877</v>
      </c>
      <c r="J498" t="str">
        <f t="shared" si="57"/>
        <v>081205</v>
      </c>
      <c r="K498" t="s">
        <v>22</v>
      </c>
      <c r="L498" t="s">
        <v>23</v>
      </c>
      <c r="M498" t="str">
        <f t="shared" si="58"/>
        <v>1</v>
      </c>
      <c r="O498" t="str">
        <f t="shared" ref="O498:O515" si="59">CONCATENATE("1 ","")</f>
        <v xml:space="preserve">1 </v>
      </c>
      <c r="P498">
        <v>30.8</v>
      </c>
      <c r="Q498" t="s">
        <v>24</v>
      </c>
    </row>
    <row r="499" spans="1:17" x14ac:dyDescent="0.25">
      <c r="A499" t="s">
        <v>17</v>
      </c>
      <c r="B499" s="1">
        <v>41718</v>
      </c>
      <c r="C499" t="s">
        <v>486</v>
      </c>
      <c r="D499" t="str">
        <f>CONCATENATE("0060004161","")</f>
        <v>0060004161</v>
      </c>
      <c r="E499" t="str">
        <f>CONCATENATE("0120515000502       ","")</f>
        <v xml:space="preserve">0120515000502       </v>
      </c>
      <c r="F499" t="str">
        <f>CONCATENATE("605054676","")</f>
        <v>605054676</v>
      </c>
      <c r="G499" t="s">
        <v>900</v>
      </c>
      <c r="H499" t="s">
        <v>901</v>
      </c>
      <c r="I499" t="s">
        <v>875</v>
      </c>
      <c r="J499" t="str">
        <f t="shared" si="57"/>
        <v>081205</v>
      </c>
      <c r="K499" t="s">
        <v>22</v>
      </c>
      <c r="L499" t="s">
        <v>23</v>
      </c>
      <c r="M499" t="str">
        <f t="shared" si="58"/>
        <v>1</v>
      </c>
      <c r="O499" t="str">
        <f t="shared" si="59"/>
        <v xml:space="preserve">1 </v>
      </c>
      <c r="P499">
        <v>11.4</v>
      </c>
      <c r="Q499" t="s">
        <v>24</v>
      </c>
    </row>
    <row r="500" spans="1:17" x14ac:dyDescent="0.25">
      <c r="A500" t="s">
        <v>17</v>
      </c>
      <c r="B500" s="1">
        <v>41718</v>
      </c>
      <c r="C500" t="s">
        <v>486</v>
      </c>
      <c r="D500" t="str">
        <f>CONCATENATE("0060018955","")</f>
        <v>0060018955</v>
      </c>
      <c r="E500" t="str">
        <f>CONCATENATE("0120515000546       ","")</f>
        <v xml:space="preserve">0120515000546       </v>
      </c>
      <c r="F500" t="str">
        <f>CONCATENATE("0606590007","")</f>
        <v>0606590007</v>
      </c>
      <c r="G500" t="s">
        <v>900</v>
      </c>
      <c r="H500" t="s">
        <v>902</v>
      </c>
      <c r="I500" t="s">
        <v>903</v>
      </c>
      <c r="J500" t="str">
        <f t="shared" si="57"/>
        <v>081205</v>
      </c>
      <c r="K500" t="s">
        <v>22</v>
      </c>
      <c r="L500" t="s">
        <v>23</v>
      </c>
      <c r="M500" t="str">
        <f t="shared" si="58"/>
        <v>1</v>
      </c>
      <c r="O500" t="str">
        <f t="shared" si="59"/>
        <v xml:space="preserve">1 </v>
      </c>
      <c r="P500">
        <v>21.65</v>
      </c>
      <c r="Q500" t="s">
        <v>24</v>
      </c>
    </row>
    <row r="501" spans="1:17" x14ac:dyDescent="0.25">
      <c r="A501" t="s">
        <v>17</v>
      </c>
      <c r="B501" s="1">
        <v>41718</v>
      </c>
      <c r="C501" t="s">
        <v>486</v>
      </c>
      <c r="D501" t="str">
        <f>CONCATENATE("0060010135","")</f>
        <v>0060010135</v>
      </c>
      <c r="E501" t="str">
        <f>CONCATENATE("0120515000630       ","")</f>
        <v xml:space="preserve">0120515000630       </v>
      </c>
      <c r="F501" t="str">
        <f>CONCATENATE("605284543","")</f>
        <v>605284543</v>
      </c>
      <c r="G501" t="s">
        <v>890</v>
      </c>
      <c r="H501" t="s">
        <v>904</v>
      </c>
      <c r="I501" t="s">
        <v>877</v>
      </c>
      <c r="J501" t="str">
        <f t="shared" si="57"/>
        <v>081205</v>
      </c>
      <c r="K501" t="s">
        <v>22</v>
      </c>
      <c r="L501" t="s">
        <v>23</v>
      </c>
      <c r="M501" t="str">
        <f t="shared" si="58"/>
        <v>1</v>
      </c>
      <c r="O501" t="str">
        <f t="shared" si="59"/>
        <v xml:space="preserve">1 </v>
      </c>
      <c r="P501">
        <v>11.35</v>
      </c>
      <c r="Q501" t="s">
        <v>24</v>
      </c>
    </row>
    <row r="502" spans="1:17" x14ac:dyDescent="0.25">
      <c r="A502" t="s">
        <v>17</v>
      </c>
      <c r="B502" s="1">
        <v>41718</v>
      </c>
      <c r="C502" t="s">
        <v>140</v>
      </c>
      <c r="D502" t="str">
        <f>CONCATENATE("0060014653","")</f>
        <v>0060014653</v>
      </c>
      <c r="E502" t="str">
        <f>CONCATENATE("0120515000658       ","")</f>
        <v xml:space="preserve">0120515000658       </v>
      </c>
      <c r="F502" t="str">
        <f>CONCATENATE("605931650","")</f>
        <v>605931650</v>
      </c>
      <c r="G502" t="s">
        <v>872</v>
      </c>
      <c r="H502" t="s">
        <v>905</v>
      </c>
      <c r="I502" t="s">
        <v>906</v>
      </c>
      <c r="J502" t="str">
        <f>CONCATENATE("081201","")</f>
        <v>081201</v>
      </c>
      <c r="K502" t="s">
        <v>22</v>
      </c>
      <c r="L502" t="s">
        <v>23</v>
      </c>
      <c r="M502" t="str">
        <f t="shared" si="58"/>
        <v>1</v>
      </c>
      <c r="O502" t="str">
        <f t="shared" si="59"/>
        <v xml:space="preserve">1 </v>
      </c>
      <c r="P502">
        <v>25.5</v>
      </c>
      <c r="Q502" t="s">
        <v>24</v>
      </c>
    </row>
    <row r="503" spans="1:17" x14ac:dyDescent="0.25">
      <c r="A503" t="s">
        <v>17</v>
      </c>
      <c r="B503" s="1">
        <v>41718</v>
      </c>
      <c r="C503" t="s">
        <v>486</v>
      </c>
      <c r="D503" t="str">
        <f>CONCATENATE("0060004181","")</f>
        <v>0060004181</v>
      </c>
      <c r="E503" t="str">
        <f>CONCATENATE("0120515000660       ","")</f>
        <v xml:space="preserve">0120515000660       </v>
      </c>
      <c r="F503" t="str">
        <f>CONCATENATE("605751809","")</f>
        <v>605751809</v>
      </c>
      <c r="G503" t="s">
        <v>872</v>
      </c>
      <c r="H503" t="s">
        <v>907</v>
      </c>
      <c r="I503" t="s">
        <v>877</v>
      </c>
      <c r="J503" t="str">
        <f t="shared" ref="J503:J510" si="60">CONCATENATE("081205","")</f>
        <v>081205</v>
      </c>
      <c r="K503" t="s">
        <v>22</v>
      </c>
      <c r="L503" t="s">
        <v>23</v>
      </c>
      <c r="M503" t="str">
        <f t="shared" si="58"/>
        <v>1</v>
      </c>
      <c r="O503" t="str">
        <f t="shared" si="59"/>
        <v xml:space="preserve">1 </v>
      </c>
      <c r="P503">
        <v>22.5</v>
      </c>
      <c r="Q503" t="s">
        <v>24</v>
      </c>
    </row>
    <row r="504" spans="1:17" x14ac:dyDescent="0.25">
      <c r="A504" t="s">
        <v>17</v>
      </c>
      <c r="B504" s="1">
        <v>41718</v>
      </c>
      <c r="C504" t="s">
        <v>486</v>
      </c>
      <c r="D504" t="str">
        <f>CONCATENATE("0060016794","")</f>
        <v>0060016794</v>
      </c>
      <c r="E504" t="str">
        <f>CONCATENATE("0120515000712       ","")</f>
        <v xml:space="preserve">0120515000712       </v>
      </c>
      <c r="F504" t="str">
        <f>CONCATENATE("1931044","")</f>
        <v>1931044</v>
      </c>
      <c r="G504" t="s">
        <v>872</v>
      </c>
      <c r="H504" t="s">
        <v>908</v>
      </c>
      <c r="I504" t="s">
        <v>909</v>
      </c>
      <c r="J504" t="str">
        <f t="shared" si="60"/>
        <v>081205</v>
      </c>
      <c r="K504" t="s">
        <v>22</v>
      </c>
      <c r="L504" t="s">
        <v>23</v>
      </c>
      <c r="M504" t="str">
        <f t="shared" si="58"/>
        <v>1</v>
      </c>
      <c r="O504" t="str">
        <f t="shared" si="59"/>
        <v xml:space="preserve">1 </v>
      </c>
      <c r="P504">
        <v>18.399999999999999</v>
      </c>
      <c r="Q504" t="s">
        <v>24</v>
      </c>
    </row>
    <row r="505" spans="1:17" x14ac:dyDescent="0.25">
      <c r="A505" t="s">
        <v>17</v>
      </c>
      <c r="B505" s="1">
        <v>41718</v>
      </c>
      <c r="C505" t="s">
        <v>486</v>
      </c>
      <c r="D505" t="str">
        <f>CONCATENATE("0060010134","")</f>
        <v>0060010134</v>
      </c>
      <c r="E505" t="str">
        <f>CONCATENATE("0120515000715       ","")</f>
        <v xml:space="preserve">0120515000715       </v>
      </c>
      <c r="F505" t="str">
        <f>CONCATENATE("606592061","")</f>
        <v>606592061</v>
      </c>
      <c r="G505" t="s">
        <v>872</v>
      </c>
      <c r="H505" t="s">
        <v>910</v>
      </c>
      <c r="I505" t="s">
        <v>911</v>
      </c>
      <c r="J505" t="str">
        <f t="shared" si="60"/>
        <v>081205</v>
      </c>
      <c r="K505" t="s">
        <v>22</v>
      </c>
      <c r="L505" t="s">
        <v>23</v>
      </c>
      <c r="M505" t="str">
        <f t="shared" si="58"/>
        <v>1</v>
      </c>
      <c r="O505" t="str">
        <f t="shared" si="59"/>
        <v xml:space="preserve">1 </v>
      </c>
      <c r="P505">
        <v>24.05</v>
      </c>
      <c r="Q505" t="s">
        <v>24</v>
      </c>
    </row>
    <row r="506" spans="1:17" x14ac:dyDescent="0.25">
      <c r="A506" t="s">
        <v>17</v>
      </c>
      <c r="B506" s="1">
        <v>41718</v>
      </c>
      <c r="C506" t="s">
        <v>486</v>
      </c>
      <c r="D506" t="str">
        <f>CONCATENATE("0060004192","")</f>
        <v>0060004192</v>
      </c>
      <c r="E506" t="str">
        <f>CONCATENATE("0120515000750       ","")</f>
        <v xml:space="preserve">0120515000750       </v>
      </c>
      <c r="F506" t="str">
        <f>CONCATENATE("605878339","")</f>
        <v>605878339</v>
      </c>
      <c r="G506" t="s">
        <v>872</v>
      </c>
      <c r="H506" t="s">
        <v>912</v>
      </c>
      <c r="I506" t="s">
        <v>875</v>
      </c>
      <c r="J506" t="str">
        <f t="shared" si="60"/>
        <v>081205</v>
      </c>
      <c r="K506" t="s">
        <v>22</v>
      </c>
      <c r="L506" t="s">
        <v>23</v>
      </c>
      <c r="M506" t="str">
        <f t="shared" si="58"/>
        <v>1</v>
      </c>
      <c r="O506" t="str">
        <f t="shared" si="59"/>
        <v xml:space="preserve">1 </v>
      </c>
      <c r="P506">
        <v>11.75</v>
      </c>
      <c r="Q506" t="s">
        <v>24</v>
      </c>
    </row>
    <row r="507" spans="1:17" x14ac:dyDescent="0.25">
      <c r="A507" t="s">
        <v>17</v>
      </c>
      <c r="B507" s="1">
        <v>41718</v>
      </c>
      <c r="C507" t="s">
        <v>486</v>
      </c>
      <c r="D507" t="str">
        <f>CONCATENATE("0060008235","")</f>
        <v>0060008235</v>
      </c>
      <c r="E507" t="str">
        <f>CONCATENATE("0120516000025       ","")</f>
        <v xml:space="preserve">0120516000025       </v>
      </c>
      <c r="F507" t="str">
        <f>CONCATENATE("605938785","")</f>
        <v>605938785</v>
      </c>
      <c r="G507" t="s">
        <v>913</v>
      </c>
      <c r="H507" t="s">
        <v>914</v>
      </c>
      <c r="I507" t="s">
        <v>877</v>
      </c>
      <c r="J507" t="str">
        <f t="shared" si="60"/>
        <v>081205</v>
      </c>
      <c r="K507" t="s">
        <v>22</v>
      </c>
      <c r="L507" t="s">
        <v>23</v>
      </c>
      <c r="M507" t="str">
        <f t="shared" si="58"/>
        <v>1</v>
      </c>
      <c r="O507" t="str">
        <f t="shared" si="59"/>
        <v xml:space="preserve">1 </v>
      </c>
      <c r="P507">
        <v>10.5</v>
      </c>
      <c r="Q507" t="s">
        <v>24</v>
      </c>
    </row>
    <row r="508" spans="1:17" x14ac:dyDescent="0.25">
      <c r="A508" t="s">
        <v>17</v>
      </c>
      <c r="B508" s="1">
        <v>41718</v>
      </c>
      <c r="C508" t="s">
        <v>486</v>
      </c>
      <c r="D508" t="str">
        <f>CONCATENATE("0060009108","")</f>
        <v>0060009108</v>
      </c>
      <c r="E508" t="str">
        <f>CONCATENATE("0120516000115       ","")</f>
        <v xml:space="preserve">0120516000115       </v>
      </c>
      <c r="F508" t="str">
        <f>CONCATENATE("00188945","")</f>
        <v>00188945</v>
      </c>
      <c r="G508" t="s">
        <v>915</v>
      </c>
      <c r="H508" t="s">
        <v>916</v>
      </c>
      <c r="I508" t="s">
        <v>917</v>
      </c>
      <c r="J508" t="str">
        <f t="shared" si="60"/>
        <v>081205</v>
      </c>
      <c r="K508" t="s">
        <v>22</v>
      </c>
      <c r="L508" t="s">
        <v>23</v>
      </c>
      <c r="M508" t="str">
        <f t="shared" si="58"/>
        <v>1</v>
      </c>
      <c r="O508" t="str">
        <f t="shared" si="59"/>
        <v xml:space="preserve">1 </v>
      </c>
      <c r="P508">
        <v>11.45</v>
      </c>
      <c r="Q508" t="s">
        <v>24</v>
      </c>
    </row>
    <row r="509" spans="1:17" x14ac:dyDescent="0.25">
      <c r="A509" t="s">
        <v>17</v>
      </c>
      <c r="B509" s="1">
        <v>41718</v>
      </c>
      <c r="C509" t="s">
        <v>486</v>
      </c>
      <c r="D509" t="str">
        <f>CONCATENATE("0060004228","")</f>
        <v>0060004228</v>
      </c>
      <c r="E509" t="str">
        <f>CONCATENATE("0120516000330       ","")</f>
        <v xml:space="preserve">0120516000330       </v>
      </c>
      <c r="F509" t="str">
        <f>CONCATENATE("605751808","")</f>
        <v>605751808</v>
      </c>
      <c r="G509" t="s">
        <v>913</v>
      </c>
      <c r="H509" t="s">
        <v>918</v>
      </c>
      <c r="I509" t="s">
        <v>919</v>
      </c>
      <c r="J509" t="str">
        <f t="shared" si="60"/>
        <v>081205</v>
      </c>
      <c r="K509" t="s">
        <v>22</v>
      </c>
      <c r="L509" t="s">
        <v>23</v>
      </c>
      <c r="M509" t="str">
        <f t="shared" si="58"/>
        <v>1</v>
      </c>
      <c r="O509" t="str">
        <f t="shared" si="59"/>
        <v xml:space="preserve">1 </v>
      </c>
      <c r="P509">
        <v>28.25</v>
      </c>
      <c r="Q509" t="s">
        <v>24</v>
      </c>
    </row>
    <row r="510" spans="1:17" x14ac:dyDescent="0.25">
      <c r="A510" t="s">
        <v>17</v>
      </c>
      <c r="B510" s="1">
        <v>41718</v>
      </c>
      <c r="C510" t="s">
        <v>486</v>
      </c>
      <c r="D510" t="str">
        <f>CONCATENATE("0060004243","")</f>
        <v>0060004243</v>
      </c>
      <c r="E510" t="str">
        <f>CONCATENATE("0120516000480       ","")</f>
        <v xml:space="preserve">0120516000480       </v>
      </c>
      <c r="F510" t="str">
        <f>CONCATENATE("606593626","")</f>
        <v>606593626</v>
      </c>
      <c r="G510" t="s">
        <v>913</v>
      </c>
      <c r="H510" t="s">
        <v>920</v>
      </c>
      <c r="I510" t="s">
        <v>921</v>
      </c>
      <c r="J510" t="str">
        <f t="shared" si="60"/>
        <v>081205</v>
      </c>
      <c r="K510" t="s">
        <v>22</v>
      </c>
      <c r="L510" t="s">
        <v>23</v>
      </c>
      <c r="M510" t="str">
        <f t="shared" si="58"/>
        <v>1</v>
      </c>
      <c r="O510" t="str">
        <f t="shared" si="59"/>
        <v xml:space="preserve">1 </v>
      </c>
      <c r="P510">
        <v>21.15</v>
      </c>
      <c r="Q510" t="s">
        <v>24</v>
      </c>
    </row>
    <row r="511" spans="1:17" x14ac:dyDescent="0.25">
      <c r="A511" t="s">
        <v>17</v>
      </c>
      <c r="B511" s="1">
        <v>41718</v>
      </c>
      <c r="C511" t="s">
        <v>140</v>
      </c>
      <c r="D511" t="str">
        <f>CONCATENATE("0060014211","")</f>
        <v>0060014211</v>
      </c>
      <c r="E511" t="str">
        <f>CONCATENATE("0120516000556       ","")</f>
        <v xml:space="preserve">0120516000556       </v>
      </c>
      <c r="F511" t="str">
        <f>CONCATENATE("605748211","")</f>
        <v>605748211</v>
      </c>
      <c r="G511" t="s">
        <v>900</v>
      </c>
      <c r="H511" t="s">
        <v>922</v>
      </c>
      <c r="I511" t="s">
        <v>923</v>
      </c>
      <c r="J511" t="str">
        <f>CONCATENATE("081201","")</f>
        <v>081201</v>
      </c>
      <c r="K511" t="s">
        <v>22</v>
      </c>
      <c r="L511" t="s">
        <v>23</v>
      </c>
      <c r="M511" t="str">
        <f t="shared" si="58"/>
        <v>1</v>
      </c>
      <c r="O511" t="str">
        <f t="shared" si="59"/>
        <v xml:space="preserve">1 </v>
      </c>
      <c r="P511">
        <v>28.55</v>
      </c>
      <c r="Q511" t="s">
        <v>24</v>
      </c>
    </row>
    <row r="512" spans="1:17" x14ac:dyDescent="0.25">
      <c r="A512" t="s">
        <v>17</v>
      </c>
      <c r="B512" s="1">
        <v>41718</v>
      </c>
      <c r="C512" t="s">
        <v>140</v>
      </c>
      <c r="D512" t="str">
        <f>CONCATENATE("0060016025","")</f>
        <v>0060016025</v>
      </c>
      <c r="E512" t="str">
        <f>CONCATENATE("0120516000670       ","")</f>
        <v xml:space="preserve">0120516000670       </v>
      </c>
      <c r="F512" t="str">
        <f>CONCATENATE("1867046","")</f>
        <v>1867046</v>
      </c>
      <c r="G512" t="s">
        <v>924</v>
      </c>
      <c r="H512" t="s">
        <v>925</v>
      </c>
      <c r="I512" t="s">
        <v>926</v>
      </c>
      <c r="J512" t="str">
        <f>CONCATENATE("081201","")</f>
        <v>081201</v>
      </c>
      <c r="K512" t="s">
        <v>22</v>
      </c>
      <c r="L512" t="s">
        <v>23</v>
      </c>
      <c r="M512" t="str">
        <f t="shared" si="58"/>
        <v>1</v>
      </c>
      <c r="O512" t="str">
        <f t="shared" si="59"/>
        <v xml:space="preserve">1 </v>
      </c>
      <c r="P512">
        <v>11.4</v>
      </c>
      <c r="Q512" t="s">
        <v>24</v>
      </c>
    </row>
    <row r="513" spans="1:17" x14ac:dyDescent="0.25">
      <c r="A513" t="s">
        <v>17</v>
      </c>
      <c r="B513" s="1">
        <v>41718</v>
      </c>
      <c r="C513" t="s">
        <v>140</v>
      </c>
      <c r="D513" t="str">
        <f>CONCATENATE("0060016122","")</f>
        <v>0060016122</v>
      </c>
      <c r="E513" t="str">
        <f>CONCATENATE("0120516000700       ","")</f>
        <v xml:space="preserve">0120516000700       </v>
      </c>
      <c r="F513" t="str">
        <f>CONCATENATE("1868017","")</f>
        <v>1868017</v>
      </c>
      <c r="G513" t="s">
        <v>872</v>
      </c>
      <c r="H513" t="s">
        <v>927</v>
      </c>
      <c r="I513" t="s">
        <v>928</v>
      </c>
      <c r="J513" t="str">
        <f>CONCATENATE("081201","")</f>
        <v>081201</v>
      </c>
      <c r="K513" t="s">
        <v>22</v>
      </c>
      <c r="L513" t="s">
        <v>23</v>
      </c>
      <c r="M513" t="str">
        <f t="shared" si="58"/>
        <v>1</v>
      </c>
      <c r="O513" t="str">
        <f t="shared" si="59"/>
        <v xml:space="preserve">1 </v>
      </c>
      <c r="P513">
        <v>11.95</v>
      </c>
      <c r="Q513" t="s">
        <v>24</v>
      </c>
    </row>
    <row r="514" spans="1:17" x14ac:dyDescent="0.25">
      <c r="A514" t="s">
        <v>17</v>
      </c>
      <c r="B514" s="1">
        <v>41718</v>
      </c>
      <c r="C514" t="s">
        <v>786</v>
      </c>
      <c r="D514" t="str">
        <f>CONCATENATE("0060013643","")</f>
        <v>0060013643</v>
      </c>
      <c r="E514" t="str">
        <f>CONCATENATE("0120517000145       ","")</f>
        <v xml:space="preserve">0120517000145       </v>
      </c>
      <c r="F514" t="str">
        <f>CONCATENATE("605627811","")</f>
        <v>605627811</v>
      </c>
      <c r="G514" t="s">
        <v>702</v>
      </c>
      <c r="H514" t="s">
        <v>929</v>
      </c>
      <c r="I514" t="s">
        <v>930</v>
      </c>
      <c r="J514" t="str">
        <f>CONCATENATE("081210","")</f>
        <v>081210</v>
      </c>
      <c r="K514" t="s">
        <v>22</v>
      </c>
      <c r="L514" t="s">
        <v>23</v>
      </c>
      <c r="M514" t="str">
        <f t="shared" si="58"/>
        <v>1</v>
      </c>
      <c r="O514" t="str">
        <f t="shared" si="59"/>
        <v xml:space="preserve">1 </v>
      </c>
      <c r="P514">
        <v>15.7</v>
      </c>
      <c r="Q514" t="s">
        <v>24</v>
      </c>
    </row>
    <row r="515" spans="1:17" x14ac:dyDescent="0.25">
      <c r="A515" t="s">
        <v>17</v>
      </c>
      <c r="B515" s="1">
        <v>41718</v>
      </c>
      <c r="C515" t="s">
        <v>786</v>
      </c>
      <c r="D515" t="str">
        <f>CONCATENATE("0060004278","")</f>
        <v>0060004278</v>
      </c>
      <c r="E515" t="str">
        <f>CONCATENATE("0120517000180       ","")</f>
        <v xml:space="preserve">0120517000180       </v>
      </c>
      <c r="F515" t="str">
        <f>CONCATENATE("5062949","")</f>
        <v>5062949</v>
      </c>
      <c r="G515" t="s">
        <v>702</v>
      </c>
      <c r="H515" t="s">
        <v>931</v>
      </c>
      <c r="I515" t="s">
        <v>932</v>
      </c>
      <c r="J515" t="str">
        <f>CONCATENATE("081210","")</f>
        <v>081210</v>
      </c>
      <c r="K515" t="s">
        <v>22</v>
      </c>
      <c r="L515" t="s">
        <v>23</v>
      </c>
      <c r="M515" t="str">
        <f>CONCATENATE("3","")</f>
        <v>3</v>
      </c>
      <c r="O515" t="str">
        <f t="shared" si="59"/>
        <v xml:space="preserve">1 </v>
      </c>
      <c r="P515">
        <v>51.6</v>
      </c>
      <c r="Q515" t="s">
        <v>28</v>
      </c>
    </row>
    <row r="516" spans="1:17" x14ac:dyDescent="0.25">
      <c r="A516" t="s">
        <v>17</v>
      </c>
      <c r="B516" s="1">
        <v>41718</v>
      </c>
      <c r="C516" t="s">
        <v>786</v>
      </c>
      <c r="D516" t="str">
        <f>CONCATENATE("0060004318","")</f>
        <v>0060004318</v>
      </c>
      <c r="E516" t="str">
        <f>CONCATENATE("0120517000580       ","")</f>
        <v xml:space="preserve">0120517000580       </v>
      </c>
      <c r="F516" t="str">
        <f>CONCATENATE("605082722","")</f>
        <v>605082722</v>
      </c>
      <c r="G516" t="s">
        <v>702</v>
      </c>
      <c r="H516" t="s">
        <v>933</v>
      </c>
      <c r="I516" t="s">
        <v>932</v>
      </c>
      <c r="J516" t="str">
        <f>CONCATENATE("081210","")</f>
        <v>081210</v>
      </c>
      <c r="K516" t="s">
        <v>22</v>
      </c>
      <c r="L516" t="s">
        <v>23</v>
      </c>
      <c r="M516" t="str">
        <f t="shared" ref="M516:M528" si="61">CONCATENATE("1","")</f>
        <v>1</v>
      </c>
      <c r="O516" t="str">
        <f>CONCATENATE("2 ","")</f>
        <v xml:space="preserve">2 </v>
      </c>
      <c r="P516">
        <v>60.95</v>
      </c>
      <c r="Q516" t="s">
        <v>24</v>
      </c>
    </row>
    <row r="517" spans="1:17" x14ac:dyDescent="0.25">
      <c r="A517" t="s">
        <v>17</v>
      </c>
      <c r="B517" s="1">
        <v>41718</v>
      </c>
      <c r="C517" t="s">
        <v>786</v>
      </c>
      <c r="D517" t="str">
        <f>CONCATENATE("0060004328","")</f>
        <v>0060004328</v>
      </c>
      <c r="E517" t="str">
        <f>CONCATENATE("0120517000676       ","")</f>
        <v xml:space="preserve">0120517000676       </v>
      </c>
      <c r="F517" t="str">
        <f>CONCATENATE("605749884","")</f>
        <v>605749884</v>
      </c>
      <c r="G517" t="s">
        <v>702</v>
      </c>
      <c r="H517" t="s">
        <v>934</v>
      </c>
      <c r="I517" t="s">
        <v>935</v>
      </c>
      <c r="J517" t="str">
        <f>CONCATENATE("081210","")</f>
        <v>081210</v>
      </c>
      <c r="K517" t="s">
        <v>22</v>
      </c>
      <c r="L517" t="s">
        <v>23</v>
      </c>
      <c r="M517" t="str">
        <f t="shared" si="61"/>
        <v>1</v>
      </c>
      <c r="O517" t="str">
        <f>CONCATENATE("1 ","")</f>
        <v xml:space="preserve">1 </v>
      </c>
      <c r="P517">
        <v>22.6</v>
      </c>
      <c r="Q517" t="s">
        <v>24</v>
      </c>
    </row>
    <row r="518" spans="1:17" x14ac:dyDescent="0.25">
      <c r="A518" t="s">
        <v>17</v>
      </c>
      <c r="B518" s="1">
        <v>41718</v>
      </c>
      <c r="C518" t="s">
        <v>786</v>
      </c>
      <c r="D518" t="str">
        <f>CONCATENATE("0060004340","")</f>
        <v>0060004340</v>
      </c>
      <c r="E518" t="str">
        <f>CONCATENATE("0120517000800       ","")</f>
        <v xml:space="preserve">0120517000800       </v>
      </c>
      <c r="F518" t="str">
        <f>CONCATENATE("605878779","")</f>
        <v>605878779</v>
      </c>
      <c r="G518" t="s">
        <v>702</v>
      </c>
      <c r="H518" t="s">
        <v>936</v>
      </c>
      <c r="I518" t="s">
        <v>932</v>
      </c>
      <c r="J518" t="str">
        <f>CONCATENATE("081210","")</f>
        <v>081210</v>
      </c>
      <c r="K518" t="s">
        <v>22</v>
      </c>
      <c r="L518" t="s">
        <v>23</v>
      </c>
      <c r="M518" t="str">
        <f t="shared" si="61"/>
        <v>1</v>
      </c>
      <c r="O518" t="str">
        <f>CONCATENATE("1 ","")</f>
        <v xml:space="preserve">1 </v>
      </c>
      <c r="P518">
        <v>58.55</v>
      </c>
      <c r="Q518" t="s">
        <v>24</v>
      </c>
    </row>
    <row r="519" spans="1:17" x14ac:dyDescent="0.25">
      <c r="A519" t="s">
        <v>17</v>
      </c>
      <c r="B519" s="1">
        <v>41718</v>
      </c>
      <c r="C519" t="s">
        <v>486</v>
      </c>
      <c r="D519" t="str">
        <f>CONCATENATE("0060009243","")</f>
        <v>0060009243</v>
      </c>
      <c r="E519" t="str">
        <f>CONCATENATE("0120518000075       ","")</f>
        <v xml:space="preserve">0120518000075       </v>
      </c>
      <c r="F519" t="str">
        <f>CONCATENATE("605938277","")</f>
        <v>605938277</v>
      </c>
      <c r="G519" t="s">
        <v>924</v>
      </c>
      <c r="H519" t="s">
        <v>937</v>
      </c>
      <c r="I519" t="s">
        <v>938</v>
      </c>
      <c r="J519" t="str">
        <f t="shared" ref="J519:J527" si="62">CONCATENATE("081205","")</f>
        <v>081205</v>
      </c>
      <c r="K519" t="s">
        <v>22</v>
      </c>
      <c r="L519" t="s">
        <v>23</v>
      </c>
      <c r="M519" t="str">
        <f t="shared" si="61"/>
        <v>1</v>
      </c>
      <c r="O519" t="str">
        <f>CONCATENATE("1 ","")</f>
        <v xml:space="preserve">1 </v>
      </c>
      <c r="P519">
        <v>29.1</v>
      </c>
      <c r="Q519" t="s">
        <v>24</v>
      </c>
    </row>
    <row r="520" spans="1:17" x14ac:dyDescent="0.25">
      <c r="A520" t="s">
        <v>17</v>
      </c>
      <c r="B520" s="1">
        <v>41718</v>
      </c>
      <c r="C520" t="s">
        <v>486</v>
      </c>
      <c r="D520" t="str">
        <f>CONCATENATE("0060004394","")</f>
        <v>0060004394</v>
      </c>
      <c r="E520" t="str">
        <f>CONCATENATE("0120518000410       ","")</f>
        <v xml:space="preserve">0120518000410       </v>
      </c>
      <c r="F520" t="str">
        <f>CONCATENATE("605751734","")</f>
        <v>605751734</v>
      </c>
      <c r="G520" t="s">
        <v>924</v>
      </c>
      <c r="H520" t="s">
        <v>939</v>
      </c>
      <c r="I520" t="s">
        <v>938</v>
      </c>
      <c r="J520" t="str">
        <f t="shared" si="62"/>
        <v>081205</v>
      </c>
      <c r="K520" t="s">
        <v>22</v>
      </c>
      <c r="L520" t="s">
        <v>23</v>
      </c>
      <c r="M520" t="str">
        <f t="shared" si="61"/>
        <v>1</v>
      </c>
      <c r="O520" t="str">
        <f>CONCATENATE("2 ","")</f>
        <v xml:space="preserve">2 </v>
      </c>
      <c r="P520">
        <v>15.8</v>
      </c>
      <c r="Q520" t="s">
        <v>24</v>
      </c>
    </row>
    <row r="521" spans="1:17" x14ac:dyDescent="0.25">
      <c r="A521" t="s">
        <v>17</v>
      </c>
      <c r="B521" s="1">
        <v>41718</v>
      </c>
      <c r="C521" t="s">
        <v>486</v>
      </c>
      <c r="D521" t="str">
        <f>CONCATENATE("0060004398","")</f>
        <v>0060004398</v>
      </c>
      <c r="E521" t="str">
        <f>CONCATENATE("0120518000450       ","")</f>
        <v xml:space="preserve">0120518000450       </v>
      </c>
      <c r="F521" t="str">
        <f>CONCATENATE("605353893","")</f>
        <v>605353893</v>
      </c>
      <c r="G521" t="s">
        <v>924</v>
      </c>
      <c r="H521" t="s">
        <v>940</v>
      </c>
      <c r="I521" t="s">
        <v>941</v>
      </c>
      <c r="J521" t="str">
        <f t="shared" si="62"/>
        <v>081205</v>
      </c>
      <c r="K521" t="s">
        <v>22</v>
      </c>
      <c r="L521" t="s">
        <v>23</v>
      </c>
      <c r="M521" t="str">
        <f t="shared" si="61"/>
        <v>1</v>
      </c>
      <c r="O521" t="str">
        <f t="shared" ref="O521:O534" si="63">CONCATENATE("1 ","")</f>
        <v xml:space="preserve">1 </v>
      </c>
      <c r="P521">
        <v>23.7</v>
      </c>
      <c r="Q521" t="s">
        <v>24</v>
      </c>
    </row>
    <row r="522" spans="1:17" x14ac:dyDescent="0.25">
      <c r="A522" t="s">
        <v>17</v>
      </c>
      <c r="B522" s="1">
        <v>41718</v>
      </c>
      <c r="C522" t="s">
        <v>486</v>
      </c>
      <c r="D522" t="str">
        <f>CONCATENATE("0060018348","")</f>
        <v>0060018348</v>
      </c>
      <c r="E522" t="str">
        <f>CONCATENATE("0120518000479       ","")</f>
        <v xml:space="preserve">0120518000479       </v>
      </c>
      <c r="F522" t="str">
        <f>CONCATENATE("2188076","")</f>
        <v>2188076</v>
      </c>
      <c r="G522" t="s">
        <v>924</v>
      </c>
      <c r="H522" t="s">
        <v>942</v>
      </c>
      <c r="I522" t="s">
        <v>943</v>
      </c>
      <c r="J522" t="str">
        <f t="shared" si="62"/>
        <v>081205</v>
      </c>
      <c r="K522" t="s">
        <v>22</v>
      </c>
      <c r="L522" t="s">
        <v>23</v>
      </c>
      <c r="M522" t="str">
        <f t="shared" si="61"/>
        <v>1</v>
      </c>
      <c r="O522" t="str">
        <f t="shared" si="63"/>
        <v xml:space="preserve">1 </v>
      </c>
      <c r="P522">
        <v>19.850000000000001</v>
      </c>
      <c r="Q522" t="s">
        <v>24</v>
      </c>
    </row>
    <row r="523" spans="1:17" x14ac:dyDescent="0.25">
      <c r="A523" t="s">
        <v>17</v>
      </c>
      <c r="B523" s="1">
        <v>41718</v>
      </c>
      <c r="C523" t="s">
        <v>486</v>
      </c>
      <c r="D523" t="str">
        <f>CONCATENATE("0060004403","")</f>
        <v>0060004403</v>
      </c>
      <c r="E523" t="str">
        <f>CONCATENATE("0120518000500       ","")</f>
        <v xml:space="preserve">0120518000500       </v>
      </c>
      <c r="F523" t="str">
        <f>CONCATENATE("605054372","")</f>
        <v>605054372</v>
      </c>
      <c r="G523" t="s">
        <v>924</v>
      </c>
      <c r="H523" t="s">
        <v>944</v>
      </c>
      <c r="I523" t="s">
        <v>938</v>
      </c>
      <c r="J523" t="str">
        <f t="shared" si="62"/>
        <v>081205</v>
      </c>
      <c r="K523" t="s">
        <v>22</v>
      </c>
      <c r="L523" t="s">
        <v>23</v>
      </c>
      <c r="M523" t="str">
        <f t="shared" si="61"/>
        <v>1</v>
      </c>
      <c r="O523" t="str">
        <f t="shared" si="63"/>
        <v xml:space="preserve">1 </v>
      </c>
      <c r="P523">
        <v>50.65</v>
      </c>
      <c r="Q523" t="s">
        <v>24</v>
      </c>
    </row>
    <row r="524" spans="1:17" x14ac:dyDescent="0.25">
      <c r="A524" t="s">
        <v>17</v>
      </c>
      <c r="B524" s="1">
        <v>41718</v>
      </c>
      <c r="C524" t="s">
        <v>486</v>
      </c>
      <c r="D524" t="str">
        <f>CONCATENATE("0060011988","")</f>
        <v>0060011988</v>
      </c>
      <c r="E524" t="str">
        <f>CONCATENATE("0120518000906       ","")</f>
        <v xml:space="preserve">0120518000906       </v>
      </c>
      <c r="F524" t="str">
        <f>CONCATENATE("605120871","")</f>
        <v>605120871</v>
      </c>
      <c r="G524" t="s">
        <v>924</v>
      </c>
      <c r="H524" t="s">
        <v>945</v>
      </c>
      <c r="I524" t="s">
        <v>946</v>
      </c>
      <c r="J524" t="str">
        <f t="shared" si="62"/>
        <v>081205</v>
      </c>
      <c r="K524" t="s">
        <v>22</v>
      </c>
      <c r="L524" t="s">
        <v>23</v>
      </c>
      <c r="M524" t="str">
        <f t="shared" si="61"/>
        <v>1</v>
      </c>
      <c r="O524" t="str">
        <f t="shared" si="63"/>
        <v xml:space="preserve">1 </v>
      </c>
      <c r="P524">
        <v>16.100000000000001</v>
      </c>
      <c r="Q524" t="s">
        <v>24</v>
      </c>
    </row>
    <row r="525" spans="1:17" x14ac:dyDescent="0.25">
      <c r="A525" t="s">
        <v>17</v>
      </c>
      <c r="B525" s="1">
        <v>41718</v>
      </c>
      <c r="C525" t="s">
        <v>486</v>
      </c>
      <c r="D525" t="str">
        <f>CONCATENATE("0060004444","")</f>
        <v>0060004444</v>
      </c>
      <c r="E525" t="str">
        <f>CONCATENATE("0120518000940       ","")</f>
        <v xml:space="preserve">0120518000940       </v>
      </c>
      <c r="F525" t="str">
        <f>CONCATENATE("605751752","")</f>
        <v>605751752</v>
      </c>
      <c r="G525" t="s">
        <v>924</v>
      </c>
      <c r="H525" t="s">
        <v>947</v>
      </c>
      <c r="I525" t="s">
        <v>938</v>
      </c>
      <c r="J525" t="str">
        <f t="shared" si="62"/>
        <v>081205</v>
      </c>
      <c r="K525" t="s">
        <v>22</v>
      </c>
      <c r="L525" t="s">
        <v>23</v>
      </c>
      <c r="M525" t="str">
        <f t="shared" si="61"/>
        <v>1</v>
      </c>
      <c r="O525" t="str">
        <f t="shared" si="63"/>
        <v xml:space="preserve">1 </v>
      </c>
      <c r="P525">
        <v>97.6</v>
      </c>
      <c r="Q525" t="s">
        <v>24</v>
      </c>
    </row>
    <row r="526" spans="1:17" x14ac:dyDescent="0.25">
      <c r="A526" t="s">
        <v>17</v>
      </c>
      <c r="B526" s="1">
        <v>41718</v>
      </c>
      <c r="C526" t="s">
        <v>486</v>
      </c>
      <c r="D526" t="str">
        <f>CONCATENATE("0060004447","")</f>
        <v>0060004447</v>
      </c>
      <c r="E526" t="str">
        <f>CONCATENATE("0120518000970       ","")</f>
        <v xml:space="preserve">0120518000970       </v>
      </c>
      <c r="F526" t="str">
        <f>CONCATENATE("605751757","")</f>
        <v>605751757</v>
      </c>
      <c r="G526" t="s">
        <v>924</v>
      </c>
      <c r="H526" t="s">
        <v>948</v>
      </c>
      <c r="I526" t="s">
        <v>938</v>
      </c>
      <c r="J526" t="str">
        <f t="shared" si="62"/>
        <v>081205</v>
      </c>
      <c r="K526" t="s">
        <v>22</v>
      </c>
      <c r="L526" t="s">
        <v>23</v>
      </c>
      <c r="M526" t="str">
        <f t="shared" si="61"/>
        <v>1</v>
      </c>
      <c r="O526" t="str">
        <f t="shared" si="63"/>
        <v xml:space="preserve">1 </v>
      </c>
      <c r="P526">
        <v>17.600000000000001</v>
      </c>
      <c r="Q526" t="s">
        <v>24</v>
      </c>
    </row>
    <row r="527" spans="1:17" x14ac:dyDescent="0.25">
      <c r="A527" t="s">
        <v>17</v>
      </c>
      <c r="B527" s="1">
        <v>41718</v>
      </c>
      <c r="C527" t="s">
        <v>486</v>
      </c>
      <c r="D527" t="str">
        <f>CONCATENATE("0060018180","")</f>
        <v>0060018180</v>
      </c>
      <c r="E527" t="str">
        <f>CONCATENATE("0120518001209       ","")</f>
        <v xml:space="preserve">0120518001209       </v>
      </c>
      <c r="F527" t="str">
        <f>CONCATENATE("2180594","")</f>
        <v>2180594</v>
      </c>
      <c r="G527" t="s">
        <v>924</v>
      </c>
      <c r="H527" t="s">
        <v>949</v>
      </c>
      <c r="I527" t="s">
        <v>950</v>
      </c>
      <c r="J527" t="str">
        <f t="shared" si="62"/>
        <v>081205</v>
      </c>
      <c r="K527" t="s">
        <v>22</v>
      </c>
      <c r="L527" t="s">
        <v>23</v>
      </c>
      <c r="M527" t="str">
        <f t="shared" si="61"/>
        <v>1</v>
      </c>
      <c r="O527" t="str">
        <f t="shared" si="63"/>
        <v xml:space="preserve">1 </v>
      </c>
      <c r="P527">
        <v>73.849999999999994</v>
      </c>
      <c r="Q527" t="s">
        <v>24</v>
      </c>
    </row>
    <row r="528" spans="1:17" x14ac:dyDescent="0.25">
      <c r="A528" t="s">
        <v>17</v>
      </c>
      <c r="B528" s="1">
        <v>41718</v>
      </c>
      <c r="C528" t="s">
        <v>786</v>
      </c>
      <c r="D528" t="str">
        <f>CONCATENATE("0060010383","")</f>
        <v>0060010383</v>
      </c>
      <c r="E528" t="str">
        <f>CONCATENATE("0120519000025       ","")</f>
        <v xml:space="preserve">0120519000025       </v>
      </c>
      <c r="F528" t="str">
        <f>CONCATENATE("2188314","")</f>
        <v>2188314</v>
      </c>
      <c r="G528" t="s">
        <v>951</v>
      </c>
      <c r="H528" t="s">
        <v>952</v>
      </c>
      <c r="I528" t="s">
        <v>953</v>
      </c>
      <c r="J528" t="str">
        <f t="shared" ref="J528:J544" si="64">CONCATENATE("081210","")</f>
        <v>081210</v>
      </c>
      <c r="K528" t="s">
        <v>22</v>
      </c>
      <c r="L528" t="s">
        <v>23</v>
      </c>
      <c r="M528" t="str">
        <f t="shared" si="61"/>
        <v>1</v>
      </c>
      <c r="O528" t="str">
        <f t="shared" si="63"/>
        <v xml:space="preserve">1 </v>
      </c>
      <c r="P528">
        <v>24.65</v>
      </c>
      <c r="Q528" t="s">
        <v>24</v>
      </c>
    </row>
    <row r="529" spans="1:17" x14ac:dyDescent="0.25">
      <c r="A529" t="s">
        <v>17</v>
      </c>
      <c r="B529" s="1">
        <v>41718</v>
      </c>
      <c r="C529" t="s">
        <v>786</v>
      </c>
      <c r="D529" t="str">
        <f>CONCATENATE("0060011724","")</f>
        <v>0060011724</v>
      </c>
      <c r="E529" t="str">
        <f>CONCATENATE("0120519000065       ","")</f>
        <v xml:space="preserve">0120519000065       </v>
      </c>
      <c r="F529" t="str">
        <f>CONCATENATE("04149255","")</f>
        <v>04149255</v>
      </c>
      <c r="G529" t="s">
        <v>951</v>
      </c>
      <c r="H529" t="s">
        <v>954</v>
      </c>
      <c r="I529" t="s">
        <v>955</v>
      </c>
      <c r="J529" t="str">
        <f t="shared" si="64"/>
        <v>081210</v>
      </c>
      <c r="K529" t="s">
        <v>22</v>
      </c>
      <c r="L529" t="s">
        <v>23</v>
      </c>
      <c r="M529" t="str">
        <f>CONCATENATE("3","")</f>
        <v>3</v>
      </c>
      <c r="O529" t="str">
        <f t="shared" si="63"/>
        <v xml:space="preserve">1 </v>
      </c>
      <c r="P529">
        <v>15.35</v>
      </c>
      <c r="Q529" t="s">
        <v>28</v>
      </c>
    </row>
    <row r="530" spans="1:17" x14ac:dyDescent="0.25">
      <c r="A530" t="s">
        <v>17</v>
      </c>
      <c r="B530" s="1">
        <v>41718</v>
      </c>
      <c r="C530" t="s">
        <v>786</v>
      </c>
      <c r="D530" t="str">
        <f>CONCATENATE("0060004468","")</f>
        <v>0060004468</v>
      </c>
      <c r="E530" t="str">
        <f>CONCATENATE("0120519000170       ","")</f>
        <v xml:space="preserve">0120519000170       </v>
      </c>
      <c r="F530" t="str">
        <f>CONCATENATE("0605760335","")</f>
        <v>0605760335</v>
      </c>
      <c r="G530" t="s">
        <v>951</v>
      </c>
      <c r="H530" t="s">
        <v>956</v>
      </c>
      <c r="I530" t="s">
        <v>957</v>
      </c>
      <c r="J530" t="str">
        <f t="shared" si="64"/>
        <v>081210</v>
      </c>
      <c r="K530" t="s">
        <v>22</v>
      </c>
      <c r="L530" t="s">
        <v>23</v>
      </c>
      <c r="M530" t="str">
        <f t="shared" ref="M530:M567" si="65">CONCATENATE("1","")</f>
        <v>1</v>
      </c>
      <c r="O530" t="str">
        <f t="shared" si="63"/>
        <v xml:space="preserve">1 </v>
      </c>
      <c r="P530">
        <v>32.5</v>
      </c>
      <c r="Q530" t="s">
        <v>24</v>
      </c>
    </row>
    <row r="531" spans="1:17" x14ac:dyDescent="0.25">
      <c r="A531" t="s">
        <v>17</v>
      </c>
      <c r="B531" s="1">
        <v>41718</v>
      </c>
      <c r="C531" t="s">
        <v>786</v>
      </c>
      <c r="D531" t="str">
        <f>CONCATENATE("0060004477","")</f>
        <v>0060004477</v>
      </c>
      <c r="E531" t="str">
        <f>CONCATENATE("0120519000310       ","")</f>
        <v xml:space="preserve">0120519000310       </v>
      </c>
      <c r="F531" t="str">
        <f>CONCATENATE("605054113","")</f>
        <v>605054113</v>
      </c>
      <c r="G531" t="s">
        <v>951</v>
      </c>
      <c r="H531" t="s">
        <v>958</v>
      </c>
      <c r="I531" t="s">
        <v>957</v>
      </c>
      <c r="J531" t="str">
        <f t="shared" si="64"/>
        <v>081210</v>
      </c>
      <c r="K531" t="s">
        <v>22</v>
      </c>
      <c r="L531" t="s">
        <v>23</v>
      </c>
      <c r="M531" t="str">
        <f t="shared" si="65"/>
        <v>1</v>
      </c>
      <c r="O531" t="str">
        <f t="shared" si="63"/>
        <v xml:space="preserve">1 </v>
      </c>
      <c r="P531">
        <v>35.799999999999997</v>
      </c>
      <c r="Q531" t="s">
        <v>24</v>
      </c>
    </row>
    <row r="532" spans="1:17" x14ac:dyDescent="0.25">
      <c r="A532" t="s">
        <v>17</v>
      </c>
      <c r="B532" s="1">
        <v>41718</v>
      </c>
      <c r="C532" t="s">
        <v>786</v>
      </c>
      <c r="D532" t="str">
        <f>CONCATENATE("0060016257","")</f>
        <v>0060016257</v>
      </c>
      <c r="E532" t="str">
        <f>CONCATENATE("0120519000432       ","")</f>
        <v xml:space="preserve">0120519000432       </v>
      </c>
      <c r="F532" t="str">
        <f>CONCATENATE("1939671","")</f>
        <v>1939671</v>
      </c>
      <c r="G532" t="s">
        <v>951</v>
      </c>
      <c r="H532" t="s">
        <v>959</v>
      </c>
      <c r="I532" t="s">
        <v>960</v>
      </c>
      <c r="J532" t="str">
        <f t="shared" si="64"/>
        <v>081210</v>
      </c>
      <c r="K532" t="s">
        <v>22</v>
      </c>
      <c r="L532" t="s">
        <v>23</v>
      </c>
      <c r="M532" t="str">
        <f t="shared" si="65"/>
        <v>1</v>
      </c>
      <c r="O532" t="str">
        <f t="shared" si="63"/>
        <v xml:space="preserve">1 </v>
      </c>
      <c r="P532">
        <v>46.25</v>
      </c>
      <c r="Q532" t="s">
        <v>24</v>
      </c>
    </row>
    <row r="533" spans="1:17" x14ac:dyDescent="0.25">
      <c r="A533" t="s">
        <v>17</v>
      </c>
      <c r="B533" s="1">
        <v>41718</v>
      </c>
      <c r="C533" t="s">
        <v>786</v>
      </c>
      <c r="D533" t="str">
        <f>CONCATENATE("0060009541","")</f>
        <v>0060009541</v>
      </c>
      <c r="E533" t="str">
        <f>CONCATENATE("0120519000725       ","")</f>
        <v xml:space="preserve">0120519000725       </v>
      </c>
      <c r="F533" t="str">
        <f>CONCATENATE("00555199","")</f>
        <v>00555199</v>
      </c>
      <c r="G533" t="s">
        <v>951</v>
      </c>
      <c r="H533" t="s">
        <v>961</v>
      </c>
      <c r="I533" t="s">
        <v>962</v>
      </c>
      <c r="J533" t="str">
        <f t="shared" si="64"/>
        <v>081210</v>
      </c>
      <c r="K533" t="s">
        <v>22</v>
      </c>
      <c r="L533" t="s">
        <v>23</v>
      </c>
      <c r="M533" t="str">
        <f t="shared" si="65"/>
        <v>1</v>
      </c>
      <c r="O533" t="str">
        <f t="shared" si="63"/>
        <v xml:space="preserve">1 </v>
      </c>
      <c r="P533">
        <v>22.25</v>
      </c>
      <c r="Q533" t="s">
        <v>24</v>
      </c>
    </row>
    <row r="534" spans="1:17" x14ac:dyDescent="0.25">
      <c r="A534" t="s">
        <v>17</v>
      </c>
      <c r="B534" s="1">
        <v>41718</v>
      </c>
      <c r="C534" t="s">
        <v>786</v>
      </c>
      <c r="D534" t="str">
        <f>CONCATENATE("0060004504","")</f>
        <v>0060004504</v>
      </c>
      <c r="E534" t="str">
        <f>CONCATENATE("0120519000930       ","")</f>
        <v xml:space="preserve">0120519000930       </v>
      </c>
      <c r="F534" t="str">
        <f>CONCATENATE("00000001817","")</f>
        <v>00000001817</v>
      </c>
      <c r="G534" t="s">
        <v>951</v>
      </c>
      <c r="H534" t="s">
        <v>963</v>
      </c>
      <c r="I534" t="s">
        <v>957</v>
      </c>
      <c r="J534" t="str">
        <f t="shared" si="64"/>
        <v>081210</v>
      </c>
      <c r="K534" t="s">
        <v>22</v>
      </c>
      <c r="L534" t="s">
        <v>23</v>
      </c>
      <c r="M534" t="str">
        <f t="shared" si="65"/>
        <v>1</v>
      </c>
      <c r="O534" t="str">
        <f t="shared" si="63"/>
        <v xml:space="preserve">1 </v>
      </c>
      <c r="P534">
        <v>12.3</v>
      </c>
      <c r="Q534" t="s">
        <v>24</v>
      </c>
    </row>
    <row r="535" spans="1:17" x14ac:dyDescent="0.25">
      <c r="A535" t="s">
        <v>17</v>
      </c>
      <c r="B535" s="1">
        <v>41718</v>
      </c>
      <c r="C535" t="s">
        <v>786</v>
      </c>
      <c r="D535" t="str">
        <f>CONCATENATE("0060004533","")</f>
        <v>0060004533</v>
      </c>
      <c r="E535" t="str">
        <f>CONCATENATE("0120520000160       ","")</f>
        <v xml:space="preserve">0120520000160       </v>
      </c>
      <c r="F535" t="str">
        <f>CONCATENATE("2124521","")</f>
        <v>2124521</v>
      </c>
      <c r="G535" t="s">
        <v>964</v>
      </c>
      <c r="H535" t="s">
        <v>965</v>
      </c>
      <c r="I535" t="s">
        <v>852</v>
      </c>
      <c r="J535" t="str">
        <f t="shared" si="64"/>
        <v>081210</v>
      </c>
      <c r="K535" t="s">
        <v>22</v>
      </c>
      <c r="L535" t="s">
        <v>23</v>
      </c>
      <c r="M535" t="str">
        <f t="shared" si="65"/>
        <v>1</v>
      </c>
      <c r="O535" t="str">
        <f>CONCATENATE("4 ","")</f>
        <v xml:space="preserve">4 </v>
      </c>
      <c r="P535">
        <v>54.4</v>
      </c>
      <c r="Q535" t="s">
        <v>24</v>
      </c>
    </row>
    <row r="536" spans="1:17" x14ac:dyDescent="0.25">
      <c r="A536" t="s">
        <v>17</v>
      </c>
      <c r="B536" s="1">
        <v>41718</v>
      </c>
      <c r="C536" t="s">
        <v>786</v>
      </c>
      <c r="D536" t="str">
        <f>CONCATENATE("0060009678","")</f>
        <v>0060009678</v>
      </c>
      <c r="E536" t="str">
        <f>CONCATENATE("0120520000275       ","")</f>
        <v xml:space="preserve">0120520000275       </v>
      </c>
      <c r="F536" t="str">
        <f>CONCATENATE("00000290676","")</f>
        <v>00000290676</v>
      </c>
      <c r="G536" t="s">
        <v>964</v>
      </c>
      <c r="H536" t="s">
        <v>966</v>
      </c>
      <c r="I536" t="s">
        <v>967</v>
      </c>
      <c r="J536" t="str">
        <f t="shared" si="64"/>
        <v>081210</v>
      </c>
      <c r="K536" t="s">
        <v>22</v>
      </c>
      <c r="L536" t="s">
        <v>23</v>
      </c>
      <c r="M536" t="str">
        <f t="shared" si="65"/>
        <v>1</v>
      </c>
      <c r="O536" t="str">
        <f>CONCATENATE("1 ","")</f>
        <v xml:space="preserve">1 </v>
      </c>
      <c r="P536">
        <v>27.45</v>
      </c>
      <c r="Q536" t="s">
        <v>24</v>
      </c>
    </row>
    <row r="537" spans="1:17" x14ac:dyDescent="0.25">
      <c r="A537" t="s">
        <v>17</v>
      </c>
      <c r="B537" s="1">
        <v>41718</v>
      </c>
      <c r="C537" t="s">
        <v>786</v>
      </c>
      <c r="D537" t="str">
        <f>CONCATENATE("0060014490","")</f>
        <v>0060014490</v>
      </c>
      <c r="E537" t="str">
        <f>CONCATENATE("0120520000409       ","")</f>
        <v xml:space="preserve">0120520000409       </v>
      </c>
      <c r="F537" t="str">
        <f>CONCATENATE("1336375","")</f>
        <v>1336375</v>
      </c>
      <c r="G537" t="s">
        <v>968</v>
      </c>
      <c r="H537" t="s">
        <v>969</v>
      </c>
      <c r="I537" t="s">
        <v>970</v>
      </c>
      <c r="J537" t="str">
        <f t="shared" si="64"/>
        <v>081210</v>
      </c>
      <c r="K537" t="s">
        <v>22</v>
      </c>
      <c r="L537" t="s">
        <v>23</v>
      </c>
      <c r="M537" t="str">
        <f t="shared" si="65"/>
        <v>1</v>
      </c>
      <c r="O537" t="str">
        <f>CONCATENATE("5 ","")</f>
        <v xml:space="preserve">5 </v>
      </c>
      <c r="P537">
        <v>138.5</v>
      </c>
      <c r="Q537" t="s">
        <v>24</v>
      </c>
    </row>
    <row r="538" spans="1:17" x14ac:dyDescent="0.25">
      <c r="A538" t="s">
        <v>17</v>
      </c>
      <c r="B538" s="1">
        <v>41718</v>
      </c>
      <c r="C538" t="s">
        <v>786</v>
      </c>
      <c r="D538" t="str">
        <f>CONCATENATE("0060014786","")</f>
        <v>0060014786</v>
      </c>
      <c r="E538" t="str">
        <f>CONCATENATE("0120520000555       ","")</f>
        <v xml:space="preserve">0120520000555       </v>
      </c>
      <c r="F538" t="str">
        <f>CONCATENATE("605933426","")</f>
        <v>605933426</v>
      </c>
      <c r="G538" t="s">
        <v>964</v>
      </c>
      <c r="H538" t="s">
        <v>971</v>
      </c>
      <c r="I538" t="s">
        <v>972</v>
      </c>
      <c r="J538" t="str">
        <f t="shared" si="64"/>
        <v>081210</v>
      </c>
      <c r="K538" t="s">
        <v>22</v>
      </c>
      <c r="L538" t="s">
        <v>23</v>
      </c>
      <c r="M538" t="str">
        <f t="shared" si="65"/>
        <v>1</v>
      </c>
      <c r="O538" t="str">
        <f t="shared" ref="O538:O548" si="66">CONCATENATE("1 ","")</f>
        <v xml:space="preserve">1 </v>
      </c>
      <c r="P538">
        <v>20.3</v>
      </c>
      <c r="Q538" t="s">
        <v>24</v>
      </c>
    </row>
    <row r="539" spans="1:17" x14ac:dyDescent="0.25">
      <c r="A539" t="s">
        <v>17</v>
      </c>
      <c r="B539" s="1">
        <v>41718</v>
      </c>
      <c r="C539" t="s">
        <v>786</v>
      </c>
      <c r="D539" t="str">
        <f>CONCATENATE("0060014613","")</f>
        <v>0060014613</v>
      </c>
      <c r="E539" t="str">
        <f>CONCATENATE("0120520000613       ","")</f>
        <v xml:space="preserve">0120520000613       </v>
      </c>
      <c r="F539" t="str">
        <f>CONCATENATE("605940619","")</f>
        <v>605940619</v>
      </c>
      <c r="G539" t="s">
        <v>964</v>
      </c>
      <c r="H539" t="s">
        <v>973</v>
      </c>
      <c r="I539" t="s">
        <v>974</v>
      </c>
      <c r="J539" t="str">
        <f t="shared" si="64"/>
        <v>081210</v>
      </c>
      <c r="K539" t="s">
        <v>22</v>
      </c>
      <c r="L539" t="s">
        <v>23</v>
      </c>
      <c r="M539" t="str">
        <f t="shared" si="65"/>
        <v>1</v>
      </c>
      <c r="O539" t="str">
        <f t="shared" si="66"/>
        <v xml:space="preserve">1 </v>
      </c>
      <c r="P539">
        <v>28.05</v>
      </c>
      <c r="Q539" t="s">
        <v>24</v>
      </c>
    </row>
    <row r="540" spans="1:17" x14ac:dyDescent="0.25">
      <c r="A540" t="s">
        <v>17</v>
      </c>
      <c r="B540" s="1">
        <v>41718</v>
      </c>
      <c r="C540" t="s">
        <v>786</v>
      </c>
      <c r="D540" t="str">
        <f>CONCATENATE("0060010404","")</f>
        <v>0060010404</v>
      </c>
      <c r="E540" t="str">
        <f>CONCATENATE("0120520000767       ","")</f>
        <v xml:space="preserve">0120520000767       </v>
      </c>
      <c r="F540" t="str">
        <f>CONCATENATE("2182178","")</f>
        <v>2182178</v>
      </c>
      <c r="G540" t="s">
        <v>968</v>
      </c>
      <c r="H540" t="s">
        <v>975</v>
      </c>
      <c r="I540" t="s">
        <v>976</v>
      </c>
      <c r="J540" t="str">
        <f t="shared" si="64"/>
        <v>081210</v>
      </c>
      <c r="K540" t="s">
        <v>22</v>
      </c>
      <c r="L540" t="s">
        <v>23</v>
      </c>
      <c r="M540" t="str">
        <f t="shared" si="65"/>
        <v>1</v>
      </c>
      <c r="O540" t="str">
        <f t="shared" si="66"/>
        <v xml:space="preserve">1 </v>
      </c>
      <c r="P540">
        <v>11.75</v>
      </c>
      <c r="Q540" t="s">
        <v>24</v>
      </c>
    </row>
    <row r="541" spans="1:17" x14ac:dyDescent="0.25">
      <c r="A541" t="s">
        <v>17</v>
      </c>
      <c r="B541" s="1">
        <v>41718</v>
      </c>
      <c r="C541" t="s">
        <v>786</v>
      </c>
      <c r="D541" t="str">
        <f>CONCATENATE("0060004674","")</f>
        <v>0060004674</v>
      </c>
      <c r="E541" t="str">
        <f>CONCATENATE("0120520001215       ","")</f>
        <v xml:space="preserve">0120520001215       </v>
      </c>
      <c r="F541" t="str">
        <f>CONCATENATE("606084536","")</f>
        <v>606084536</v>
      </c>
      <c r="G541" t="s">
        <v>964</v>
      </c>
      <c r="H541" t="s">
        <v>975</v>
      </c>
      <c r="I541" t="s">
        <v>977</v>
      </c>
      <c r="J541" t="str">
        <f t="shared" si="64"/>
        <v>081210</v>
      </c>
      <c r="K541" t="s">
        <v>22</v>
      </c>
      <c r="L541" t="s">
        <v>23</v>
      </c>
      <c r="M541" t="str">
        <f t="shared" si="65"/>
        <v>1</v>
      </c>
      <c r="O541" t="str">
        <f t="shared" si="66"/>
        <v xml:space="preserve">1 </v>
      </c>
      <c r="P541">
        <v>136.25</v>
      </c>
      <c r="Q541" t="s">
        <v>24</v>
      </c>
    </row>
    <row r="542" spans="1:17" x14ac:dyDescent="0.25">
      <c r="A542" t="s">
        <v>17</v>
      </c>
      <c r="B542" s="1">
        <v>41718</v>
      </c>
      <c r="C542" t="s">
        <v>786</v>
      </c>
      <c r="D542" t="str">
        <f>CONCATENATE("0060015420","")</f>
        <v>0060015420</v>
      </c>
      <c r="E542" t="str">
        <f>CONCATENATE("0120520001247       ","")</f>
        <v xml:space="preserve">0120520001247       </v>
      </c>
      <c r="F542" t="str">
        <f>CONCATENATE("605939450","")</f>
        <v>605939450</v>
      </c>
      <c r="G542" t="s">
        <v>964</v>
      </c>
      <c r="H542" t="s">
        <v>978</v>
      </c>
      <c r="I542" t="s">
        <v>979</v>
      </c>
      <c r="J542" t="str">
        <f t="shared" si="64"/>
        <v>081210</v>
      </c>
      <c r="K542" t="s">
        <v>22</v>
      </c>
      <c r="L542" t="s">
        <v>23</v>
      </c>
      <c r="M542" t="str">
        <f t="shared" si="65"/>
        <v>1</v>
      </c>
      <c r="O542" t="str">
        <f t="shared" si="66"/>
        <v xml:space="preserve">1 </v>
      </c>
      <c r="P542">
        <v>127.9</v>
      </c>
      <c r="Q542" t="s">
        <v>24</v>
      </c>
    </row>
    <row r="543" spans="1:17" x14ac:dyDescent="0.25">
      <c r="A543" t="s">
        <v>17</v>
      </c>
      <c r="B543" s="1">
        <v>41718</v>
      </c>
      <c r="C543" t="s">
        <v>786</v>
      </c>
      <c r="D543" t="str">
        <f>CONCATENATE("0060016232","")</f>
        <v>0060016232</v>
      </c>
      <c r="E543" t="str">
        <f>CONCATENATE("0120520001535       ","")</f>
        <v xml:space="preserve">0120520001535       </v>
      </c>
      <c r="F543" t="str">
        <f>CONCATENATE("1730336","")</f>
        <v>1730336</v>
      </c>
      <c r="G543" t="s">
        <v>964</v>
      </c>
      <c r="H543" t="s">
        <v>980</v>
      </c>
      <c r="I543" t="s">
        <v>981</v>
      </c>
      <c r="J543" t="str">
        <f t="shared" si="64"/>
        <v>081210</v>
      </c>
      <c r="K543" t="s">
        <v>22</v>
      </c>
      <c r="L543" t="s">
        <v>23</v>
      </c>
      <c r="M543" t="str">
        <f t="shared" si="65"/>
        <v>1</v>
      </c>
      <c r="O543" t="str">
        <f t="shared" si="66"/>
        <v xml:space="preserve">1 </v>
      </c>
      <c r="P543">
        <v>11.35</v>
      </c>
      <c r="Q543" t="s">
        <v>24</v>
      </c>
    </row>
    <row r="544" spans="1:17" x14ac:dyDescent="0.25">
      <c r="A544" t="s">
        <v>17</v>
      </c>
      <c r="B544" s="1">
        <v>41718</v>
      </c>
      <c r="C544" t="s">
        <v>786</v>
      </c>
      <c r="D544" t="str">
        <f>CONCATENATE("0060016426","")</f>
        <v>0060016426</v>
      </c>
      <c r="E544" t="str">
        <f>CONCATENATE("0120520002150       ","")</f>
        <v xml:space="preserve">0120520002150       </v>
      </c>
      <c r="F544" t="str">
        <f>CONCATENATE("1941945","")</f>
        <v>1941945</v>
      </c>
      <c r="G544" t="s">
        <v>752</v>
      </c>
      <c r="H544" t="s">
        <v>982</v>
      </c>
      <c r="I544" t="s">
        <v>983</v>
      </c>
      <c r="J544" t="str">
        <f t="shared" si="64"/>
        <v>081210</v>
      </c>
      <c r="K544" t="s">
        <v>22</v>
      </c>
      <c r="L544" t="s">
        <v>23</v>
      </c>
      <c r="M544" t="str">
        <f t="shared" si="65"/>
        <v>1</v>
      </c>
      <c r="O544" t="str">
        <f t="shared" si="66"/>
        <v xml:space="preserve">1 </v>
      </c>
      <c r="P544">
        <v>22.35</v>
      </c>
      <c r="Q544" t="s">
        <v>24</v>
      </c>
    </row>
    <row r="545" spans="1:17" x14ac:dyDescent="0.25">
      <c r="A545" t="s">
        <v>17</v>
      </c>
      <c r="B545" s="1">
        <v>41718</v>
      </c>
      <c r="C545" t="s">
        <v>486</v>
      </c>
      <c r="D545" t="str">
        <f>CONCATENATE("0060013294","")</f>
        <v>0060013294</v>
      </c>
      <c r="E545" t="str">
        <f>CONCATENATE("0120521000095       ","")</f>
        <v xml:space="preserve">0120521000095       </v>
      </c>
      <c r="F545" t="str">
        <f>CONCATENATE("762843","")</f>
        <v>762843</v>
      </c>
      <c r="G545" t="s">
        <v>984</v>
      </c>
      <c r="H545" t="s">
        <v>985</v>
      </c>
      <c r="I545" t="s">
        <v>986</v>
      </c>
      <c r="J545" t="str">
        <f>CONCATENATE("081205","")</f>
        <v>081205</v>
      </c>
      <c r="K545" t="s">
        <v>22</v>
      </c>
      <c r="L545" t="s">
        <v>23</v>
      </c>
      <c r="M545" t="str">
        <f t="shared" si="65"/>
        <v>1</v>
      </c>
      <c r="O545" t="str">
        <f t="shared" si="66"/>
        <v xml:space="preserve">1 </v>
      </c>
      <c r="P545">
        <v>21.25</v>
      </c>
      <c r="Q545" t="s">
        <v>24</v>
      </c>
    </row>
    <row r="546" spans="1:17" x14ac:dyDescent="0.25">
      <c r="A546" t="s">
        <v>17</v>
      </c>
      <c r="B546" s="1">
        <v>41718</v>
      </c>
      <c r="C546" t="s">
        <v>67</v>
      </c>
      <c r="D546" t="str">
        <f>CONCATENATE("0060004738","")</f>
        <v>0060004738</v>
      </c>
      <c r="E546" t="str">
        <f>CONCATENATE("0120521000100       ","")</f>
        <v xml:space="preserve">0120521000100       </v>
      </c>
      <c r="F546" t="str">
        <f>CONCATENATE("605353888","")</f>
        <v>605353888</v>
      </c>
      <c r="G546" t="s">
        <v>984</v>
      </c>
      <c r="H546" t="s">
        <v>987</v>
      </c>
      <c r="I546" t="s">
        <v>988</v>
      </c>
      <c r="J546" t="str">
        <f>CONCATENATE("081207","")</f>
        <v>081207</v>
      </c>
      <c r="K546" t="s">
        <v>22</v>
      </c>
      <c r="L546" t="s">
        <v>23</v>
      </c>
      <c r="M546" t="str">
        <f t="shared" si="65"/>
        <v>1</v>
      </c>
      <c r="O546" t="str">
        <f t="shared" si="66"/>
        <v xml:space="preserve">1 </v>
      </c>
      <c r="P546">
        <v>14.15</v>
      </c>
      <c r="Q546" t="s">
        <v>24</v>
      </c>
    </row>
    <row r="547" spans="1:17" x14ac:dyDescent="0.25">
      <c r="A547" t="s">
        <v>17</v>
      </c>
      <c r="B547" s="1">
        <v>41718</v>
      </c>
      <c r="C547" t="s">
        <v>67</v>
      </c>
      <c r="D547" t="str">
        <f>CONCATENATE("0060004739","")</f>
        <v>0060004739</v>
      </c>
      <c r="E547" t="str">
        <f>CONCATENATE("0120521000110       ","")</f>
        <v xml:space="preserve">0120521000110       </v>
      </c>
      <c r="F547" t="str">
        <f>CONCATENATE("605880050","")</f>
        <v>605880050</v>
      </c>
      <c r="G547" t="s">
        <v>984</v>
      </c>
      <c r="H547" t="s">
        <v>989</v>
      </c>
      <c r="I547" t="s">
        <v>988</v>
      </c>
      <c r="J547" t="str">
        <f>CONCATENATE("081207","")</f>
        <v>081207</v>
      </c>
      <c r="K547" t="s">
        <v>22</v>
      </c>
      <c r="L547" t="s">
        <v>23</v>
      </c>
      <c r="M547" t="str">
        <f t="shared" si="65"/>
        <v>1</v>
      </c>
      <c r="O547" t="str">
        <f t="shared" si="66"/>
        <v xml:space="preserve">1 </v>
      </c>
      <c r="P547">
        <v>25</v>
      </c>
      <c r="Q547" t="s">
        <v>24</v>
      </c>
    </row>
    <row r="548" spans="1:17" x14ac:dyDescent="0.25">
      <c r="A548" t="s">
        <v>17</v>
      </c>
      <c r="B548" s="1">
        <v>41718</v>
      </c>
      <c r="C548" t="s">
        <v>67</v>
      </c>
      <c r="D548" t="str">
        <f>CONCATENATE("0060004741","")</f>
        <v>0060004741</v>
      </c>
      <c r="E548" t="str">
        <f>CONCATENATE("0120521000130       ","")</f>
        <v xml:space="preserve">0120521000130       </v>
      </c>
      <c r="F548" t="str">
        <f>CONCATENATE("605353892","")</f>
        <v>605353892</v>
      </c>
      <c r="G548" t="s">
        <v>984</v>
      </c>
      <c r="H548" t="s">
        <v>990</v>
      </c>
      <c r="I548" t="s">
        <v>988</v>
      </c>
      <c r="J548" t="str">
        <f>CONCATENATE("081207","")</f>
        <v>081207</v>
      </c>
      <c r="K548" t="s">
        <v>22</v>
      </c>
      <c r="L548" t="s">
        <v>23</v>
      </c>
      <c r="M548" t="str">
        <f t="shared" si="65"/>
        <v>1</v>
      </c>
      <c r="O548" t="str">
        <f t="shared" si="66"/>
        <v xml:space="preserve">1 </v>
      </c>
      <c r="P548">
        <v>13.8</v>
      </c>
      <c r="Q548" t="s">
        <v>24</v>
      </c>
    </row>
    <row r="549" spans="1:17" x14ac:dyDescent="0.25">
      <c r="A549" t="s">
        <v>17</v>
      </c>
      <c r="B549" s="1">
        <v>41718</v>
      </c>
      <c r="C549" t="s">
        <v>67</v>
      </c>
      <c r="D549" t="str">
        <f>CONCATENATE("0060004746","")</f>
        <v>0060004746</v>
      </c>
      <c r="E549" t="str">
        <f>CONCATENATE("0120521000190       ","")</f>
        <v xml:space="preserve">0120521000190       </v>
      </c>
      <c r="F549" t="str">
        <f>CONCATENATE("605880049","")</f>
        <v>605880049</v>
      </c>
      <c r="G549" t="s">
        <v>984</v>
      </c>
      <c r="H549" t="s">
        <v>991</v>
      </c>
      <c r="I549" t="s">
        <v>988</v>
      </c>
      <c r="J549" t="str">
        <f>CONCATENATE("081207","")</f>
        <v>081207</v>
      </c>
      <c r="K549" t="s">
        <v>22</v>
      </c>
      <c r="L549" t="s">
        <v>23</v>
      </c>
      <c r="M549" t="str">
        <f t="shared" si="65"/>
        <v>1</v>
      </c>
      <c r="O549" t="str">
        <f>CONCATENATE("2 ","")</f>
        <v xml:space="preserve">2 </v>
      </c>
      <c r="P549">
        <v>22.05</v>
      </c>
      <c r="Q549" t="s">
        <v>24</v>
      </c>
    </row>
    <row r="550" spans="1:17" x14ac:dyDescent="0.25">
      <c r="A550" t="s">
        <v>17</v>
      </c>
      <c r="B550" s="1">
        <v>41718</v>
      </c>
      <c r="C550" t="s">
        <v>67</v>
      </c>
      <c r="D550" t="str">
        <f>CONCATENATE("0060004748","")</f>
        <v>0060004748</v>
      </c>
      <c r="E550" t="str">
        <f>CONCATENATE("0120521000210       ","")</f>
        <v xml:space="preserve">0120521000210       </v>
      </c>
      <c r="F550" t="str">
        <f>CONCATENATE("2007","")</f>
        <v>2007</v>
      </c>
      <c r="G550" t="s">
        <v>984</v>
      </c>
      <c r="H550" t="s">
        <v>992</v>
      </c>
      <c r="I550" t="s">
        <v>988</v>
      </c>
      <c r="J550" t="str">
        <f>CONCATENATE("081207","")</f>
        <v>081207</v>
      </c>
      <c r="K550" t="s">
        <v>22</v>
      </c>
      <c r="L550" t="s">
        <v>23</v>
      </c>
      <c r="M550" t="str">
        <f t="shared" si="65"/>
        <v>1</v>
      </c>
      <c r="O550" t="str">
        <f t="shared" ref="O550:O576" si="67">CONCATENATE("1 ","")</f>
        <v xml:space="preserve">1 </v>
      </c>
      <c r="P550">
        <v>20.95</v>
      </c>
      <c r="Q550" t="s">
        <v>24</v>
      </c>
    </row>
    <row r="551" spans="1:17" x14ac:dyDescent="0.25">
      <c r="A551" t="s">
        <v>17</v>
      </c>
      <c r="B551" s="1">
        <v>41718</v>
      </c>
      <c r="C551" t="s">
        <v>486</v>
      </c>
      <c r="D551" t="str">
        <f>CONCATENATE("0060018018","")</f>
        <v>0060018018</v>
      </c>
      <c r="E551" t="str">
        <f>CONCATENATE("0120521000274       ","")</f>
        <v xml:space="preserve">0120521000274       </v>
      </c>
      <c r="F551" t="str">
        <f>CONCATENATE("2121846","")</f>
        <v>2121846</v>
      </c>
      <c r="G551" t="s">
        <v>984</v>
      </c>
      <c r="H551" t="s">
        <v>993</v>
      </c>
      <c r="I551" t="s">
        <v>994</v>
      </c>
      <c r="J551" t="str">
        <f>CONCATENATE("081205","")</f>
        <v>081205</v>
      </c>
      <c r="K551" t="s">
        <v>22</v>
      </c>
      <c r="L551" t="s">
        <v>23</v>
      </c>
      <c r="M551" t="str">
        <f t="shared" si="65"/>
        <v>1</v>
      </c>
      <c r="O551" t="str">
        <f t="shared" si="67"/>
        <v xml:space="preserve">1 </v>
      </c>
      <c r="P551">
        <v>16.850000000000001</v>
      </c>
      <c r="Q551" t="s">
        <v>24</v>
      </c>
    </row>
    <row r="552" spans="1:17" x14ac:dyDescent="0.25">
      <c r="A552" t="s">
        <v>17</v>
      </c>
      <c r="B552" s="1">
        <v>41718</v>
      </c>
      <c r="C552" t="s">
        <v>486</v>
      </c>
      <c r="D552" t="str">
        <f>CONCATENATE("0060015620","")</f>
        <v>0060015620</v>
      </c>
      <c r="E552" t="str">
        <f>CONCATENATE("0120521000287       ","")</f>
        <v xml:space="preserve">0120521000287       </v>
      </c>
      <c r="F552" t="str">
        <f>CONCATENATE("605933934","")</f>
        <v>605933934</v>
      </c>
      <c r="G552" t="s">
        <v>984</v>
      </c>
      <c r="H552" t="s">
        <v>995</v>
      </c>
      <c r="I552" t="s">
        <v>996</v>
      </c>
      <c r="J552" t="str">
        <f>CONCATENATE("081205","")</f>
        <v>081205</v>
      </c>
      <c r="K552" t="s">
        <v>22</v>
      </c>
      <c r="L552" t="s">
        <v>23</v>
      </c>
      <c r="M552" t="str">
        <f t="shared" si="65"/>
        <v>1</v>
      </c>
      <c r="O552" t="str">
        <f t="shared" si="67"/>
        <v xml:space="preserve">1 </v>
      </c>
      <c r="P552">
        <v>17.25</v>
      </c>
      <c r="Q552" t="s">
        <v>24</v>
      </c>
    </row>
    <row r="553" spans="1:17" x14ac:dyDescent="0.25">
      <c r="A553" t="s">
        <v>17</v>
      </c>
      <c r="B553" s="1">
        <v>41718</v>
      </c>
      <c r="C553" t="s">
        <v>67</v>
      </c>
      <c r="D553" t="str">
        <f>CONCATENATE("0060004761","")</f>
        <v>0060004761</v>
      </c>
      <c r="E553" t="str">
        <f>CONCATENATE("0120521000330       ","")</f>
        <v xml:space="preserve">0120521000330       </v>
      </c>
      <c r="F553" t="str">
        <f>CONCATENATE("605746739","")</f>
        <v>605746739</v>
      </c>
      <c r="G553" t="s">
        <v>984</v>
      </c>
      <c r="H553" t="s">
        <v>997</v>
      </c>
      <c r="I553" t="s">
        <v>998</v>
      </c>
      <c r="J553" t="str">
        <f>CONCATENATE("081207","")</f>
        <v>081207</v>
      </c>
      <c r="K553" t="s">
        <v>22</v>
      </c>
      <c r="L553" t="s">
        <v>23</v>
      </c>
      <c r="M553" t="str">
        <f t="shared" si="65"/>
        <v>1</v>
      </c>
      <c r="O553" t="str">
        <f t="shared" si="67"/>
        <v xml:space="preserve">1 </v>
      </c>
      <c r="P553">
        <v>29.45</v>
      </c>
      <c r="Q553" t="s">
        <v>24</v>
      </c>
    </row>
    <row r="554" spans="1:17" x14ac:dyDescent="0.25">
      <c r="A554" t="s">
        <v>17</v>
      </c>
      <c r="B554" s="1">
        <v>41718</v>
      </c>
      <c r="C554" t="s">
        <v>67</v>
      </c>
      <c r="D554" t="str">
        <f>CONCATENATE("0060004764","")</f>
        <v>0060004764</v>
      </c>
      <c r="E554" t="str">
        <f>CONCATENATE("0120521000360       ","")</f>
        <v xml:space="preserve">0120521000360       </v>
      </c>
      <c r="F554" t="str">
        <f>CONCATENATE("605880045","")</f>
        <v>605880045</v>
      </c>
      <c r="G554" t="s">
        <v>984</v>
      </c>
      <c r="H554" t="s">
        <v>999</v>
      </c>
      <c r="I554" t="s">
        <v>998</v>
      </c>
      <c r="J554" t="str">
        <f>CONCATENATE("081207","")</f>
        <v>081207</v>
      </c>
      <c r="K554" t="s">
        <v>22</v>
      </c>
      <c r="L554" t="s">
        <v>23</v>
      </c>
      <c r="M554" t="str">
        <f t="shared" si="65"/>
        <v>1</v>
      </c>
      <c r="O554" t="str">
        <f t="shared" si="67"/>
        <v xml:space="preserve">1 </v>
      </c>
      <c r="P554">
        <v>17.5</v>
      </c>
      <c r="Q554" t="s">
        <v>24</v>
      </c>
    </row>
    <row r="555" spans="1:17" x14ac:dyDescent="0.25">
      <c r="A555" t="s">
        <v>17</v>
      </c>
      <c r="B555" s="1">
        <v>41718</v>
      </c>
      <c r="C555" t="s">
        <v>786</v>
      </c>
      <c r="D555" t="str">
        <f>CONCATENATE("0060015049","")</f>
        <v>0060015049</v>
      </c>
      <c r="E555" t="str">
        <f>CONCATENATE("0120522000095       ","")</f>
        <v xml:space="preserve">0120522000095       </v>
      </c>
      <c r="F555" t="str">
        <f>CONCATENATE("605932913","")</f>
        <v>605932913</v>
      </c>
      <c r="G555" t="s">
        <v>1000</v>
      </c>
      <c r="H555" t="s">
        <v>1001</v>
      </c>
      <c r="I555" t="s">
        <v>1002</v>
      </c>
      <c r="J555" t="str">
        <f t="shared" ref="J555:J581" si="68">CONCATENATE("081210","")</f>
        <v>081210</v>
      </c>
      <c r="K555" t="s">
        <v>22</v>
      </c>
      <c r="L555" t="s">
        <v>23</v>
      </c>
      <c r="M555" t="str">
        <f t="shared" si="65"/>
        <v>1</v>
      </c>
      <c r="O555" t="str">
        <f t="shared" si="67"/>
        <v xml:space="preserve">1 </v>
      </c>
      <c r="P555">
        <v>26.7</v>
      </c>
      <c r="Q555" t="s">
        <v>24</v>
      </c>
    </row>
    <row r="556" spans="1:17" x14ac:dyDescent="0.25">
      <c r="A556" t="s">
        <v>17</v>
      </c>
      <c r="B556" s="1">
        <v>41718</v>
      </c>
      <c r="C556" t="s">
        <v>786</v>
      </c>
      <c r="D556" t="str">
        <f>CONCATENATE("0060009315","")</f>
        <v>0060009315</v>
      </c>
      <c r="E556" t="str">
        <f>CONCATENATE("0120522000300       ","")</f>
        <v xml:space="preserve">0120522000300       </v>
      </c>
      <c r="F556" t="str">
        <f>CONCATENATE("605751799","")</f>
        <v>605751799</v>
      </c>
      <c r="G556" t="s">
        <v>1000</v>
      </c>
      <c r="H556" t="s">
        <v>1003</v>
      </c>
      <c r="I556" t="s">
        <v>1004</v>
      </c>
      <c r="J556" t="str">
        <f t="shared" si="68"/>
        <v>081210</v>
      </c>
      <c r="K556" t="s">
        <v>22</v>
      </c>
      <c r="L556" t="s">
        <v>23</v>
      </c>
      <c r="M556" t="str">
        <f t="shared" si="65"/>
        <v>1</v>
      </c>
      <c r="O556" t="str">
        <f t="shared" si="67"/>
        <v xml:space="preserve">1 </v>
      </c>
      <c r="P556">
        <v>23.8</v>
      </c>
      <c r="Q556" t="s">
        <v>24</v>
      </c>
    </row>
    <row r="557" spans="1:17" x14ac:dyDescent="0.25">
      <c r="A557" t="s">
        <v>17</v>
      </c>
      <c r="B557" s="1">
        <v>41718</v>
      </c>
      <c r="C557" t="s">
        <v>786</v>
      </c>
      <c r="D557" t="str">
        <f>CONCATENATE("0060015041","")</f>
        <v>0060015041</v>
      </c>
      <c r="E557" t="str">
        <f>CONCATENATE("0120522000450       ","")</f>
        <v xml:space="preserve">0120522000450       </v>
      </c>
      <c r="F557" t="str">
        <f>CONCATENATE("605932926","")</f>
        <v>605932926</v>
      </c>
      <c r="G557" t="s">
        <v>1000</v>
      </c>
      <c r="H557" t="s">
        <v>1005</v>
      </c>
      <c r="I557" t="s">
        <v>1002</v>
      </c>
      <c r="J557" t="str">
        <f t="shared" si="68"/>
        <v>081210</v>
      </c>
      <c r="K557" t="s">
        <v>22</v>
      </c>
      <c r="L557" t="s">
        <v>23</v>
      </c>
      <c r="M557" t="str">
        <f t="shared" si="65"/>
        <v>1</v>
      </c>
      <c r="O557" t="str">
        <f t="shared" si="67"/>
        <v xml:space="preserve">1 </v>
      </c>
      <c r="P557">
        <v>10.5</v>
      </c>
      <c r="Q557" t="s">
        <v>24</v>
      </c>
    </row>
    <row r="558" spans="1:17" x14ac:dyDescent="0.25">
      <c r="A558" t="s">
        <v>17</v>
      </c>
      <c r="B558" s="1">
        <v>41718</v>
      </c>
      <c r="C558" t="s">
        <v>786</v>
      </c>
      <c r="D558" t="str">
        <f>CONCATENATE("0060012629","")</f>
        <v>0060012629</v>
      </c>
      <c r="E558" t="str">
        <f>CONCATENATE("0120523000630       ","")</f>
        <v xml:space="preserve">0120523000630       </v>
      </c>
      <c r="F558" t="str">
        <f>CONCATENATE("605083409","")</f>
        <v>605083409</v>
      </c>
      <c r="G558" t="s">
        <v>1006</v>
      </c>
      <c r="H558" t="s">
        <v>1007</v>
      </c>
      <c r="I558" t="s">
        <v>1008</v>
      </c>
      <c r="J558" t="str">
        <f t="shared" si="68"/>
        <v>081210</v>
      </c>
      <c r="K558" t="s">
        <v>22</v>
      </c>
      <c r="L558" t="s">
        <v>23</v>
      </c>
      <c r="M558" t="str">
        <f t="shared" si="65"/>
        <v>1</v>
      </c>
      <c r="O558" t="str">
        <f t="shared" si="67"/>
        <v xml:space="preserve">1 </v>
      </c>
      <c r="P558">
        <v>29.2</v>
      </c>
      <c r="Q558" t="s">
        <v>24</v>
      </c>
    </row>
    <row r="559" spans="1:17" x14ac:dyDescent="0.25">
      <c r="A559" t="s">
        <v>17</v>
      </c>
      <c r="B559" s="1">
        <v>41718</v>
      </c>
      <c r="C559" t="s">
        <v>786</v>
      </c>
      <c r="D559" t="str">
        <f>CONCATENATE("0060011546","")</f>
        <v>0060011546</v>
      </c>
      <c r="E559" t="str">
        <f>CONCATENATE("0120523000675       ","")</f>
        <v xml:space="preserve">0120523000675       </v>
      </c>
      <c r="F559" t="str">
        <f>CONCATENATE("01240738","")</f>
        <v>01240738</v>
      </c>
      <c r="G559" t="s">
        <v>1006</v>
      </c>
      <c r="H559" t="s">
        <v>1009</v>
      </c>
      <c r="I559" t="s">
        <v>1010</v>
      </c>
      <c r="J559" t="str">
        <f t="shared" si="68"/>
        <v>081210</v>
      </c>
      <c r="K559" t="s">
        <v>22</v>
      </c>
      <c r="L559" t="s">
        <v>23</v>
      </c>
      <c r="M559" t="str">
        <f t="shared" si="65"/>
        <v>1</v>
      </c>
      <c r="O559" t="str">
        <f t="shared" si="67"/>
        <v xml:space="preserve">1 </v>
      </c>
      <c r="P559">
        <v>62.7</v>
      </c>
      <c r="Q559" t="s">
        <v>24</v>
      </c>
    </row>
    <row r="560" spans="1:17" x14ac:dyDescent="0.25">
      <c r="A560" t="s">
        <v>17</v>
      </c>
      <c r="B560" s="1">
        <v>41718</v>
      </c>
      <c r="C560" t="s">
        <v>786</v>
      </c>
      <c r="D560" t="str">
        <f>CONCATENATE("0060011824","")</f>
        <v>0060011824</v>
      </c>
      <c r="E560" t="str">
        <f>CONCATENATE("0120523000718       ","")</f>
        <v xml:space="preserve">0120523000718       </v>
      </c>
      <c r="F560" t="str">
        <f>CONCATENATE("605113829","")</f>
        <v>605113829</v>
      </c>
      <c r="G560" t="s">
        <v>1006</v>
      </c>
      <c r="H560" t="s">
        <v>1011</v>
      </c>
      <c r="I560" t="s">
        <v>1012</v>
      </c>
      <c r="J560" t="str">
        <f t="shared" si="68"/>
        <v>081210</v>
      </c>
      <c r="K560" t="s">
        <v>22</v>
      </c>
      <c r="L560" t="s">
        <v>23</v>
      </c>
      <c r="M560" t="str">
        <f t="shared" si="65"/>
        <v>1</v>
      </c>
      <c r="O560" t="str">
        <f t="shared" si="67"/>
        <v xml:space="preserve">1 </v>
      </c>
      <c r="P560">
        <v>303.25</v>
      </c>
      <c r="Q560" t="s">
        <v>24</v>
      </c>
    </row>
    <row r="561" spans="1:17" x14ac:dyDescent="0.25">
      <c r="A561" t="s">
        <v>17</v>
      </c>
      <c r="B561" s="1">
        <v>41718</v>
      </c>
      <c r="C561" t="s">
        <v>786</v>
      </c>
      <c r="D561" t="str">
        <f>CONCATENATE("0060014566","")</f>
        <v>0060014566</v>
      </c>
      <c r="E561" t="str">
        <f>CONCATENATE("0120523000875       ","")</f>
        <v xml:space="preserve">0120523000875       </v>
      </c>
      <c r="F561" t="str">
        <f>CONCATENATE("605942015","")</f>
        <v>605942015</v>
      </c>
      <c r="G561" t="s">
        <v>1006</v>
      </c>
      <c r="H561" t="s">
        <v>1013</v>
      </c>
      <c r="I561" t="s">
        <v>1014</v>
      </c>
      <c r="J561" t="str">
        <f t="shared" si="68"/>
        <v>081210</v>
      </c>
      <c r="K561" t="s">
        <v>22</v>
      </c>
      <c r="L561" t="s">
        <v>23</v>
      </c>
      <c r="M561" t="str">
        <f t="shared" si="65"/>
        <v>1</v>
      </c>
      <c r="O561" t="str">
        <f t="shared" si="67"/>
        <v xml:space="preserve">1 </v>
      </c>
      <c r="P561">
        <v>19.75</v>
      </c>
      <c r="Q561" t="s">
        <v>24</v>
      </c>
    </row>
    <row r="562" spans="1:17" x14ac:dyDescent="0.25">
      <c r="A562" t="s">
        <v>17</v>
      </c>
      <c r="B562" s="1">
        <v>41718</v>
      </c>
      <c r="C562" t="s">
        <v>786</v>
      </c>
      <c r="D562" t="str">
        <f>CONCATENATE("0060009088","")</f>
        <v>0060009088</v>
      </c>
      <c r="E562" t="str">
        <f>CONCATENATE("0120523000890       ","")</f>
        <v xml:space="preserve">0120523000890       </v>
      </c>
      <c r="F562" t="str">
        <f>CONCATENATE("00188957","")</f>
        <v>00188957</v>
      </c>
      <c r="G562" t="s">
        <v>1006</v>
      </c>
      <c r="H562" t="s">
        <v>1015</v>
      </c>
      <c r="I562" t="s">
        <v>1016</v>
      </c>
      <c r="J562" t="str">
        <f t="shared" si="68"/>
        <v>081210</v>
      </c>
      <c r="K562" t="s">
        <v>22</v>
      </c>
      <c r="L562" t="s">
        <v>23</v>
      </c>
      <c r="M562" t="str">
        <f t="shared" si="65"/>
        <v>1</v>
      </c>
      <c r="O562" t="str">
        <f t="shared" si="67"/>
        <v xml:space="preserve">1 </v>
      </c>
      <c r="P562">
        <v>42.6</v>
      </c>
      <c r="Q562" t="s">
        <v>24</v>
      </c>
    </row>
    <row r="563" spans="1:17" x14ac:dyDescent="0.25">
      <c r="A563" t="s">
        <v>17</v>
      </c>
      <c r="B563" s="1">
        <v>41718</v>
      </c>
      <c r="C563" t="s">
        <v>786</v>
      </c>
      <c r="D563" t="str">
        <f>CONCATENATE("0060011458","")</f>
        <v>0060011458</v>
      </c>
      <c r="E563" t="str">
        <f>CONCATENATE("0120523000895       ","")</f>
        <v xml:space="preserve">0120523000895       </v>
      </c>
      <c r="F563" t="str">
        <f>CONCATENATE("2180464","")</f>
        <v>2180464</v>
      </c>
      <c r="G563" t="s">
        <v>1006</v>
      </c>
      <c r="H563" t="s">
        <v>1017</v>
      </c>
      <c r="I563" t="s">
        <v>1018</v>
      </c>
      <c r="J563" t="str">
        <f t="shared" si="68"/>
        <v>081210</v>
      </c>
      <c r="K563" t="s">
        <v>22</v>
      </c>
      <c r="L563" t="s">
        <v>23</v>
      </c>
      <c r="M563" t="str">
        <f t="shared" si="65"/>
        <v>1</v>
      </c>
      <c r="O563" t="str">
        <f t="shared" si="67"/>
        <v xml:space="preserve">1 </v>
      </c>
      <c r="P563">
        <v>34.700000000000003</v>
      </c>
      <c r="Q563" t="s">
        <v>24</v>
      </c>
    </row>
    <row r="564" spans="1:17" x14ac:dyDescent="0.25">
      <c r="A564" t="s">
        <v>17</v>
      </c>
      <c r="B564" s="1">
        <v>41718</v>
      </c>
      <c r="C564" t="s">
        <v>786</v>
      </c>
      <c r="D564" t="str">
        <f>CONCATENATE("0060011749","")</f>
        <v>0060011749</v>
      </c>
      <c r="E564" t="str">
        <f>CONCATENATE("0120523001048       ","")</f>
        <v xml:space="preserve">0120523001048       </v>
      </c>
      <c r="F564" t="str">
        <f>CONCATENATE("605113842","")</f>
        <v>605113842</v>
      </c>
      <c r="G564" t="s">
        <v>1006</v>
      </c>
      <c r="H564" t="s">
        <v>1019</v>
      </c>
      <c r="I564" t="s">
        <v>1020</v>
      </c>
      <c r="J564" t="str">
        <f t="shared" si="68"/>
        <v>081210</v>
      </c>
      <c r="K564" t="s">
        <v>22</v>
      </c>
      <c r="L564" t="s">
        <v>23</v>
      </c>
      <c r="M564" t="str">
        <f t="shared" si="65"/>
        <v>1</v>
      </c>
      <c r="O564" t="str">
        <f t="shared" si="67"/>
        <v xml:space="preserve">1 </v>
      </c>
      <c r="P564">
        <v>11.55</v>
      </c>
      <c r="Q564" t="s">
        <v>24</v>
      </c>
    </row>
    <row r="565" spans="1:17" x14ac:dyDescent="0.25">
      <c r="A565" t="s">
        <v>17</v>
      </c>
      <c r="B565" s="1">
        <v>41718</v>
      </c>
      <c r="C565" t="s">
        <v>786</v>
      </c>
      <c r="D565" t="str">
        <f>CONCATENATE("0060004812","")</f>
        <v>0060004812</v>
      </c>
      <c r="E565" t="str">
        <f>CONCATENATE("0120523001056       ","")</f>
        <v xml:space="preserve">0120523001056       </v>
      </c>
      <c r="F565" t="str">
        <f>CONCATENATE("00036794","")</f>
        <v>00036794</v>
      </c>
      <c r="G565" t="s">
        <v>1006</v>
      </c>
      <c r="H565" t="s">
        <v>1021</v>
      </c>
      <c r="I565" t="s">
        <v>1022</v>
      </c>
      <c r="J565" t="str">
        <f t="shared" si="68"/>
        <v>081210</v>
      </c>
      <c r="K565" t="s">
        <v>22</v>
      </c>
      <c r="L565" t="s">
        <v>23</v>
      </c>
      <c r="M565" t="str">
        <f t="shared" si="65"/>
        <v>1</v>
      </c>
      <c r="O565" t="str">
        <f t="shared" si="67"/>
        <v xml:space="preserve">1 </v>
      </c>
      <c r="P565">
        <v>26.2</v>
      </c>
      <c r="Q565" t="s">
        <v>24</v>
      </c>
    </row>
    <row r="566" spans="1:17" x14ac:dyDescent="0.25">
      <c r="A566" t="s">
        <v>17</v>
      </c>
      <c r="B566" s="1">
        <v>41718</v>
      </c>
      <c r="C566" t="s">
        <v>786</v>
      </c>
      <c r="D566" t="str">
        <f>CONCATENATE("0060004816","")</f>
        <v>0060004816</v>
      </c>
      <c r="E566" t="str">
        <f>CONCATENATE("0120523001080       ","")</f>
        <v xml:space="preserve">0120523001080       </v>
      </c>
      <c r="F566" t="str">
        <f>CONCATENATE("605054095","")</f>
        <v>605054095</v>
      </c>
      <c r="G566" t="s">
        <v>1006</v>
      </c>
      <c r="H566" t="s">
        <v>1023</v>
      </c>
      <c r="I566" t="s">
        <v>852</v>
      </c>
      <c r="J566" t="str">
        <f t="shared" si="68"/>
        <v>081210</v>
      </c>
      <c r="K566" t="s">
        <v>22</v>
      </c>
      <c r="L566" t="s">
        <v>23</v>
      </c>
      <c r="M566" t="str">
        <f t="shared" si="65"/>
        <v>1</v>
      </c>
      <c r="O566" t="str">
        <f t="shared" si="67"/>
        <v xml:space="preserve">1 </v>
      </c>
      <c r="P566">
        <v>17.850000000000001</v>
      </c>
      <c r="Q566" t="s">
        <v>24</v>
      </c>
    </row>
    <row r="567" spans="1:17" x14ac:dyDescent="0.25">
      <c r="A567" t="s">
        <v>17</v>
      </c>
      <c r="B567" s="1">
        <v>41718</v>
      </c>
      <c r="C567" t="s">
        <v>786</v>
      </c>
      <c r="D567" t="str">
        <f>CONCATENATE("0060004823","")</f>
        <v>0060004823</v>
      </c>
      <c r="E567" t="str">
        <f>CONCATENATE("0120523001170       ","")</f>
        <v xml:space="preserve">0120523001170       </v>
      </c>
      <c r="F567" t="str">
        <f>CONCATENATE("605349451","")</f>
        <v>605349451</v>
      </c>
      <c r="G567" t="s">
        <v>1006</v>
      </c>
      <c r="H567" t="s">
        <v>1024</v>
      </c>
      <c r="I567" t="s">
        <v>1025</v>
      </c>
      <c r="J567" t="str">
        <f t="shared" si="68"/>
        <v>081210</v>
      </c>
      <c r="K567" t="s">
        <v>22</v>
      </c>
      <c r="L567" t="s">
        <v>23</v>
      </c>
      <c r="M567" t="str">
        <f t="shared" si="65"/>
        <v>1</v>
      </c>
      <c r="O567" t="str">
        <f t="shared" si="67"/>
        <v xml:space="preserve">1 </v>
      </c>
      <c r="P567">
        <v>37.85</v>
      </c>
      <c r="Q567" t="s">
        <v>24</v>
      </c>
    </row>
    <row r="568" spans="1:17" x14ac:dyDescent="0.25">
      <c r="A568" t="s">
        <v>17</v>
      </c>
      <c r="B568" s="1">
        <v>41718</v>
      </c>
      <c r="C568" t="s">
        <v>786</v>
      </c>
      <c r="D568" t="str">
        <f>CONCATENATE("0060015698","")</f>
        <v>0060015698</v>
      </c>
      <c r="E568" t="str">
        <f>CONCATENATE("0120523001268       ","")</f>
        <v xml:space="preserve">0120523001268       </v>
      </c>
      <c r="F568" t="str">
        <f>CONCATENATE("507008039","")</f>
        <v>507008039</v>
      </c>
      <c r="G568" t="s">
        <v>1006</v>
      </c>
      <c r="H568" t="s">
        <v>1026</v>
      </c>
      <c r="I568" t="s">
        <v>1027</v>
      </c>
      <c r="J568" t="str">
        <f t="shared" si="68"/>
        <v>081210</v>
      </c>
      <c r="K568" t="s">
        <v>22</v>
      </c>
      <c r="L568" t="s">
        <v>23</v>
      </c>
      <c r="M568" t="str">
        <f>CONCATENATE("3","")</f>
        <v>3</v>
      </c>
      <c r="O568" t="str">
        <f t="shared" si="67"/>
        <v xml:space="preserve">1 </v>
      </c>
      <c r="P568">
        <v>46.8</v>
      </c>
      <c r="Q568" t="s">
        <v>28</v>
      </c>
    </row>
    <row r="569" spans="1:17" x14ac:dyDescent="0.25">
      <c r="A569" t="s">
        <v>17</v>
      </c>
      <c r="B569" s="1">
        <v>41718</v>
      </c>
      <c r="C569" t="s">
        <v>786</v>
      </c>
      <c r="D569" t="str">
        <f>CONCATENATE("0060016367","")</f>
        <v>0060016367</v>
      </c>
      <c r="E569" t="str">
        <f>CONCATENATE("0120523001492       ","")</f>
        <v xml:space="preserve">0120523001492       </v>
      </c>
      <c r="F569" t="str">
        <f>CONCATENATE("1942397","")</f>
        <v>1942397</v>
      </c>
      <c r="G569" t="s">
        <v>1006</v>
      </c>
      <c r="H569" t="s">
        <v>1028</v>
      </c>
      <c r="I569" t="s">
        <v>1029</v>
      </c>
      <c r="J569" t="str">
        <f t="shared" si="68"/>
        <v>081210</v>
      </c>
      <c r="K569" t="s">
        <v>22</v>
      </c>
      <c r="L569" t="s">
        <v>23</v>
      </c>
      <c r="M569" t="str">
        <f t="shared" ref="M569:M575" si="69">CONCATENATE("1","")</f>
        <v>1</v>
      </c>
      <c r="O569" t="str">
        <f t="shared" si="67"/>
        <v xml:space="preserve">1 </v>
      </c>
      <c r="P569">
        <v>14.55</v>
      </c>
      <c r="Q569" t="s">
        <v>24</v>
      </c>
    </row>
    <row r="570" spans="1:17" x14ac:dyDescent="0.25">
      <c r="A570" t="s">
        <v>17</v>
      </c>
      <c r="B570" s="1">
        <v>41718</v>
      </c>
      <c r="C570" t="s">
        <v>786</v>
      </c>
      <c r="D570" t="str">
        <f>CONCATENATE("0060004848","")</f>
        <v>0060004848</v>
      </c>
      <c r="E570" t="str">
        <f>CONCATENATE("0120523001570       ","")</f>
        <v xml:space="preserve">0120523001570       </v>
      </c>
      <c r="F570" t="str">
        <f>CONCATENATE("606088065","")</f>
        <v>606088065</v>
      </c>
      <c r="G570" t="s">
        <v>1006</v>
      </c>
      <c r="H570" t="s">
        <v>1030</v>
      </c>
      <c r="I570" t="s">
        <v>1031</v>
      </c>
      <c r="J570" t="str">
        <f t="shared" si="68"/>
        <v>081210</v>
      </c>
      <c r="K570" t="s">
        <v>22</v>
      </c>
      <c r="L570" t="s">
        <v>23</v>
      </c>
      <c r="M570" t="str">
        <f t="shared" si="69"/>
        <v>1</v>
      </c>
      <c r="O570" t="str">
        <f t="shared" si="67"/>
        <v xml:space="preserve">1 </v>
      </c>
      <c r="P570">
        <v>35.6</v>
      </c>
      <c r="Q570" t="s">
        <v>24</v>
      </c>
    </row>
    <row r="571" spans="1:17" x14ac:dyDescent="0.25">
      <c r="A571" t="s">
        <v>17</v>
      </c>
      <c r="B571" s="1">
        <v>41718</v>
      </c>
      <c r="C571" t="s">
        <v>786</v>
      </c>
      <c r="D571" t="str">
        <f>CONCATENATE("0060004851","")</f>
        <v>0060004851</v>
      </c>
      <c r="E571" t="str">
        <f>CONCATENATE("0120523001615       ","")</f>
        <v xml:space="preserve">0120523001615       </v>
      </c>
      <c r="F571" t="str">
        <f>CONCATENATE("07296237","")</f>
        <v>07296237</v>
      </c>
      <c r="G571" t="s">
        <v>1006</v>
      </c>
      <c r="H571" t="s">
        <v>1032</v>
      </c>
      <c r="I571" t="s">
        <v>1033</v>
      </c>
      <c r="J571" t="str">
        <f t="shared" si="68"/>
        <v>081210</v>
      </c>
      <c r="K571" t="s">
        <v>22</v>
      </c>
      <c r="L571" t="s">
        <v>23</v>
      </c>
      <c r="M571" t="str">
        <f t="shared" si="69"/>
        <v>1</v>
      </c>
      <c r="O571" t="str">
        <f t="shared" si="67"/>
        <v xml:space="preserve">1 </v>
      </c>
      <c r="P571">
        <v>411.1</v>
      </c>
      <c r="Q571" t="s">
        <v>24</v>
      </c>
    </row>
    <row r="572" spans="1:17" x14ac:dyDescent="0.25">
      <c r="A572" t="s">
        <v>17</v>
      </c>
      <c r="B572" s="1">
        <v>41718</v>
      </c>
      <c r="C572" t="s">
        <v>786</v>
      </c>
      <c r="D572" t="str">
        <f>CONCATENATE("0060015581","")</f>
        <v>0060015581</v>
      </c>
      <c r="E572" t="str">
        <f>CONCATENATE("0120523001861       ","")</f>
        <v xml:space="preserve">0120523001861       </v>
      </c>
      <c r="F572" t="str">
        <f>CONCATENATE("605931667","")</f>
        <v>605931667</v>
      </c>
      <c r="G572" t="s">
        <v>1006</v>
      </c>
      <c r="H572" t="s">
        <v>1034</v>
      </c>
      <c r="I572" t="s">
        <v>1027</v>
      </c>
      <c r="J572" t="str">
        <f t="shared" si="68"/>
        <v>081210</v>
      </c>
      <c r="K572" t="s">
        <v>22</v>
      </c>
      <c r="L572" t="s">
        <v>23</v>
      </c>
      <c r="M572" t="str">
        <f t="shared" si="69"/>
        <v>1</v>
      </c>
      <c r="O572" t="str">
        <f t="shared" si="67"/>
        <v xml:space="preserve">1 </v>
      </c>
      <c r="P572">
        <v>10.5</v>
      </c>
      <c r="Q572" t="s">
        <v>24</v>
      </c>
    </row>
    <row r="573" spans="1:17" x14ac:dyDescent="0.25">
      <c r="A573" t="s">
        <v>17</v>
      </c>
      <c r="B573" s="1">
        <v>41718</v>
      </c>
      <c r="C573" t="s">
        <v>786</v>
      </c>
      <c r="D573" t="str">
        <f>CONCATENATE("0060013223","")</f>
        <v>0060013223</v>
      </c>
      <c r="E573" t="str">
        <f>CONCATENATE("0120523001864       ","")</f>
        <v xml:space="preserve">0120523001864       </v>
      </c>
      <c r="F573" t="str">
        <f>CONCATENATE("605282070","")</f>
        <v>605282070</v>
      </c>
      <c r="G573" t="s">
        <v>1006</v>
      </c>
      <c r="H573" t="s">
        <v>1035</v>
      </c>
      <c r="I573" t="s">
        <v>1036</v>
      </c>
      <c r="J573" t="str">
        <f t="shared" si="68"/>
        <v>081210</v>
      </c>
      <c r="K573" t="s">
        <v>22</v>
      </c>
      <c r="L573" t="s">
        <v>23</v>
      </c>
      <c r="M573" t="str">
        <f t="shared" si="69"/>
        <v>1</v>
      </c>
      <c r="O573" t="str">
        <f t="shared" si="67"/>
        <v xml:space="preserve">1 </v>
      </c>
      <c r="P573">
        <v>22.15</v>
      </c>
      <c r="Q573" t="s">
        <v>24</v>
      </c>
    </row>
    <row r="574" spans="1:17" x14ac:dyDescent="0.25">
      <c r="A574" t="s">
        <v>17</v>
      </c>
      <c r="B574" s="1">
        <v>41718</v>
      </c>
      <c r="C574" t="s">
        <v>786</v>
      </c>
      <c r="D574" t="str">
        <f>CONCATENATE("0060015570","")</f>
        <v>0060015570</v>
      </c>
      <c r="E574" t="str">
        <f>CONCATENATE("0120523001869       ","")</f>
        <v xml:space="preserve">0120523001869       </v>
      </c>
      <c r="F574" t="str">
        <f>CONCATENATE("605932677","")</f>
        <v>605932677</v>
      </c>
      <c r="G574" t="s">
        <v>1006</v>
      </c>
      <c r="H574" t="s">
        <v>1037</v>
      </c>
      <c r="I574" t="s">
        <v>1038</v>
      </c>
      <c r="J574" t="str">
        <f t="shared" si="68"/>
        <v>081210</v>
      </c>
      <c r="K574" t="s">
        <v>22</v>
      </c>
      <c r="L574" t="s">
        <v>23</v>
      </c>
      <c r="M574" t="str">
        <f t="shared" si="69"/>
        <v>1</v>
      </c>
      <c r="O574" t="str">
        <f t="shared" si="67"/>
        <v xml:space="preserve">1 </v>
      </c>
      <c r="P574">
        <v>92.55</v>
      </c>
      <c r="Q574" t="s">
        <v>24</v>
      </c>
    </row>
    <row r="575" spans="1:17" x14ac:dyDescent="0.25">
      <c r="A575" t="s">
        <v>17</v>
      </c>
      <c r="B575" s="1">
        <v>41718</v>
      </c>
      <c r="C575" t="s">
        <v>786</v>
      </c>
      <c r="D575" t="str">
        <f>CONCATENATE("0060016811","")</f>
        <v>0060016811</v>
      </c>
      <c r="E575" t="str">
        <f>CONCATENATE("0120523001872       ","")</f>
        <v xml:space="preserve">0120523001872       </v>
      </c>
      <c r="F575" t="str">
        <f>CONCATENATE("2150398","")</f>
        <v>2150398</v>
      </c>
      <c r="G575" t="s">
        <v>1006</v>
      </c>
      <c r="H575" t="s">
        <v>1039</v>
      </c>
      <c r="I575" t="s">
        <v>1040</v>
      </c>
      <c r="J575" t="str">
        <f t="shared" si="68"/>
        <v>081210</v>
      </c>
      <c r="K575" t="s">
        <v>22</v>
      </c>
      <c r="L575" t="s">
        <v>23</v>
      </c>
      <c r="M575" t="str">
        <f t="shared" si="69"/>
        <v>1</v>
      </c>
      <c r="O575" t="str">
        <f t="shared" si="67"/>
        <v xml:space="preserve">1 </v>
      </c>
      <c r="P575">
        <v>19.100000000000001</v>
      </c>
      <c r="Q575" t="s">
        <v>24</v>
      </c>
    </row>
    <row r="576" spans="1:17" x14ac:dyDescent="0.25">
      <c r="A576" t="s">
        <v>17</v>
      </c>
      <c r="B576" s="1">
        <v>41718</v>
      </c>
      <c r="C576" t="s">
        <v>786</v>
      </c>
      <c r="D576" t="str">
        <f>CONCATENATE("0060014328","")</f>
        <v>0060014328</v>
      </c>
      <c r="E576" t="str">
        <f>CONCATENATE("0120523001881       ","")</f>
        <v xml:space="preserve">0120523001881       </v>
      </c>
      <c r="F576" t="str">
        <f>CONCATENATE("113168","")</f>
        <v>113168</v>
      </c>
      <c r="G576" t="s">
        <v>1006</v>
      </c>
      <c r="H576" t="s">
        <v>1041</v>
      </c>
      <c r="I576" t="s">
        <v>1042</v>
      </c>
      <c r="J576" t="str">
        <f t="shared" si="68"/>
        <v>081210</v>
      </c>
      <c r="K576" t="s">
        <v>22</v>
      </c>
      <c r="L576" t="s">
        <v>23</v>
      </c>
      <c r="M576" t="str">
        <f>CONCATENATE("3","")</f>
        <v>3</v>
      </c>
      <c r="O576" t="str">
        <f t="shared" si="67"/>
        <v xml:space="preserve">1 </v>
      </c>
      <c r="P576">
        <v>82.05</v>
      </c>
      <c r="Q576" t="s">
        <v>28</v>
      </c>
    </row>
    <row r="577" spans="1:17" x14ac:dyDescent="0.25">
      <c r="A577" t="s">
        <v>17</v>
      </c>
      <c r="B577" s="1">
        <v>41718</v>
      </c>
      <c r="C577" t="s">
        <v>786</v>
      </c>
      <c r="D577" t="str">
        <f>CONCATENATE("0060004867","")</f>
        <v>0060004867</v>
      </c>
      <c r="E577" t="str">
        <f>CONCATENATE("0120523001895       ","")</f>
        <v xml:space="preserve">0120523001895       </v>
      </c>
      <c r="F577" t="str">
        <f>CONCATENATE("507008137","")</f>
        <v>507008137</v>
      </c>
      <c r="G577" t="s">
        <v>1006</v>
      </c>
      <c r="H577" t="s">
        <v>1043</v>
      </c>
      <c r="I577" t="s">
        <v>1031</v>
      </c>
      <c r="J577" t="str">
        <f t="shared" si="68"/>
        <v>081210</v>
      </c>
      <c r="K577" t="s">
        <v>22</v>
      </c>
      <c r="L577" t="s">
        <v>23</v>
      </c>
      <c r="M577" t="str">
        <f>CONCATENATE("1","")</f>
        <v>1</v>
      </c>
      <c r="O577" t="str">
        <f>CONCATENATE("4 ","")</f>
        <v xml:space="preserve">4 </v>
      </c>
      <c r="P577">
        <v>339.95</v>
      </c>
      <c r="Q577" t="s">
        <v>28</v>
      </c>
    </row>
    <row r="578" spans="1:17" x14ac:dyDescent="0.25">
      <c r="A578" t="s">
        <v>17</v>
      </c>
      <c r="B578" s="1">
        <v>41718</v>
      </c>
      <c r="C578" t="s">
        <v>786</v>
      </c>
      <c r="D578" t="str">
        <f>CONCATENATE("0060013558","")</f>
        <v>0060013558</v>
      </c>
      <c r="E578" t="str">
        <f>CONCATENATE("0120523002011       ","")</f>
        <v xml:space="preserve">0120523002011       </v>
      </c>
      <c r="F578" t="str">
        <f>CONCATENATE("762837","")</f>
        <v>762837</v>
      </c>
      <c r="G578" t="s">
        <v>1006</v>
      </c>
      <c r="H578" t="s">
        <v>1044</v>
      </c>
      <c r="I578" t="s">
        <v>1045</v>
      </c>
      <c r="J578" t="str">
        <f t="shared" si="68"/>
        <v>081210</v>
      </c>
      <c r="K578" t="s">
        <v>22</v>
      </c>
      <c r="L578" t="s">
        <v>23</v>
      </c>
      <c r="M578" t="str">
        <f>CONCATENATE("1","")</f>
        <v>1</v>
      </c>
      <c r="O578" t="str">
        <f t="shared" ref="O578:O614" si="70">CONCATENATE("1 ","")</f>
        <v xml:space="preserve">1 </v>
      </c>
      <c r="P578">
        <v>10.5</v>
      </c>
      <c r="Q578" t="s">
        <v>24</v>
      </c>
    </row>
    <row r="579" spans="1:17" x14ac:dyDescent="0.25">
      <c r="A579" t="s">
        <v>17</v>
      </c>
      <c r="B579" s="1">
        <v>41718</v>
      </c>
      <c r="C579" t="s">
        <v>786</v>
      </c>
      <c r="D579" t="str">
        <f>CONCATENATE("0060004871","")</f>
        <v>0060004871</v>
      </c>
      <c r="E579" t="str">
        <f>CONCATENATE("0120524000030       ","")</f>
        <v xml:space="preserve">0120524000030       </v>
      </c>
      <c r="F579" t="str">
        <f>CONCATENATE("1099450","")</f>
        <v>1099450</v>
      </c>
      <c r="G579" t="s">
        <v>1046</v>
      </c>
      <c r="H579" t="s">
        <v>1047</v>
      </c>
      <c r="I579" t="s">
        <v>1048</v>
      </c>
      <c r="J579" t="str">
        <f t="shared" si="68"/>
        <v>081210</v>
      </c>
      <c r="K579" t="s">
        <v>22</v>
      </c>
      <c r="L579" t="s">
        <v>23</v>
      </c>
      <c r="M579" t="str">
        <f>CONCATENATE("1","")</f>
        <v>1</v>
      </c>
      <c r="O579" t="str">
        <f t="shared" si="70"/>
        <v xml:space="preserve">1 </v>
      </c>
      <c r="P579">
        <v>39.200000000000003</v>
      </c>
      <c r="Q579" t="s">
        <v>24</v>
      </c>
    </row>
    <row r="580" spans="1:17" x14ac:dyDescent="0.25">
      <c r="A580" t="s">
        <v>17</v>
      </c>
      <c r="B580" s="1">
        <v>41718</v>
      </c>
      <c r="C580" t="s">
        <v>786</v>
      </c>
      <c r="D580" t="str">
        <f>CONCATENATE("0060018974","")</f>
        <v>0060018974</v>
      </c>
      <c r="E580" t="str">
        <f>CONCATENATE("0120524000115       ","")</f>
        <v xml:space="preserve">0120524000115       </v>
      </c>
      <c r="F580" t="str">
        <f>CONCATENATE("606592718","")</f>
        <v>606592718</v>
      </c>
      <c r="G580" t="s">
        <v>1046</v>
      </c>
      <c r="H580" t="s">
        <v>1049</v>
      </c>
      <c r="I580" t="s">
        <v>1050</v>
      </c>
      <c r="J580" t="str">
        <f t="shared" si="68"/>
        <v>081210</v>
      </c>
      <c r="K580" t="s">
        <v>22</v>
      </c>
      <c r="L580" t="s">
        <v>23</v>
      </c>
      <c r="M580" t="str">
        <f>CONCATENATE("1","")</f>
        <v>1</v>
      </c>
      <c r="O580" t="str">
        <f t="shared" si="70"/>
        <v xml:space="preserve">1 </v>
      </c>
      <c r="P580">
        <v>44.5</v>
      </c>
      <c r="Q580" t="s">
        <v>24</v>
      </c>
    </row>
    <row r="581" spans="1:17" x14ac:dyDescent="0.25">
      <c r="A581" t="s">
        <v>17</v>
      </c>
      <c r="B581" s="1">
        <v>41718</v>
      </c>
      <c r="C581" t="s">
        <v>786</v>
      </c>
      <c r="D581" t="str">
        <f>CONCATENATE("0060010515","")</f>
        <v>0060010515</v>
      </c>
      <c r="E581" t="str">
        <f>CONCATENATE("0120524000215       ","")</f>
        <v xml:space="preserve">0120524000215       </v>
      </c>
      <c r="F581" t="str">
        <f>CONCATENATE("507031339","")</f>
        <v>507031339</v>
      </c>
      <c r="G581" t="s">
        <v>1046</v>
      </c>
      <c r="H581" t="s">
        <v>1051</v>
      </c>
      <c r="I581" t="s">
        <v>1052</v>
      </c>
      <c r="J581" t="str">
        <f t="shared" si="68"/>
        <v>081210</v>
      </c>
      <c r="K581" t="s">
        <v>22</v>
      </c>
      <c r="L581" t="s">
        <v>23</v>
      </c>
      <c r="M581" t="str">
        <f>CONCATENATE("3","")</f>
        <v>3</v>
      </c>
      <c r="O581" t="str">
        <f t="shared" si="70"/>
        <v xml:space="preserve">1 </v>
      </c>
      <c r="P581">
        <v>82.7</v>
      </c>
      <c r="Q581" t="s">
        <v>28</v>
      </c>
    </row>
    <row r="582" spans="1:17" x14ac:dyDescent="0.25">
      <c r="A582" t="s">
        <v>17</v>
      </c>
      <c r="B582" s="1">
        <v>41718</v>
      </c>
      <c r="C582" t="s">
        <v>486</v>
      </c>
      <c r="D582" t="str">
        <f>CONCATENATE("0060004896","")</f>
        <v>0060004896</v>
      </c>
      <c r="E582" t="str">
        <f>CONCATENATE("0120525000010       ","")</f>
        <v xml:space="preserve">0120525000010       </v>
      </c>
      <c r="F582" t="str">
        <f>CONCATENATE("605056982","")</f>
        <v>605056982</v>
      </c>
      <c r="G582" t="s">
        <v>1053</v>
      </c>
      <c r="H582" t="s">
        <v>1054</v>
      </c>
      <c r="I582" t="s">
        <v>1055</v>
      </c>
      <c r="J582" t="str">
        <f t="shared" ref="J582:J610" si="71">CONCATENATE("081205","")</f>
        <v>081205</v>
      </c>
      <c r="K582" t="s">
        <v>22</v>
      </c>
      <c r="L582" t="s">
        <v>23</v>
      </c>
      <c r="M582" t="str">
        <f>CONCATENATE("1","")</f>
        <v>1</v>
      </c>
      <c r="O582" t="str">
        <f t="shared" si="70"/>
        <v xml:space="preserve">1 </v>
      </c>
      <c r="P582">
        <v>29.5</v>
      </c>
      <c r="Q582" t="s">
        <v>24</v>
      </c>
    </row>
    <row r="583" spans="1:17" x14ac:dyDescent="0.25">
      <c r="A583" t="s">
        <v>17</v>
      </c>
      <c r="B583" s="1">
        <v>41718</v>
      </c>
      <c r="C583" t="s">
        <v>486</v>
      </c>
      <c r="D583" t="str">
        <f>CONCATENATE("0060004904","")</f>
        <v>0060004904</v>
      </c>
      <c r="E583" t="str">
        <f>CONCATENATE("0120525000080       ","")</f>
        <v xml:space="preserve">0120525000080       </v>
      </c>
      <c r="F583" t="str">
        <f>CONCATENATE("605878742","")</f>
        <v>605878742</v>
      </c>
      <c r="G583" t="s">
        <v>1053</v>
      </c>
      <c r="H583" t="s">
        <v>1056</v>
      </c>
      <c r="I583" t="s">
        <v>1057</v>
      </c>
      <c r="J583" t="str">
        <f t="shared" si="71"/>
        <v>081205</v>
      </c>
      <c r="K583" t="s">
        <v>22</v>
      </c>
      <c r="L583" t="s">
        <v>23</v>
      </c>
      <c r="M583" t="str">
        <f>CONCATENATE("1","")</f>
        <v>1</v>
      </c>
      <c r="O583" t="str">
        <f t="shared" si="70"/>
        <v xml:space="preserve">1 </v>
      </c>
      <c r="P583">
        <v>16.600000000000001</v>
      </c>
      <c r="Q583" t="s">
        <v>24</v>
      </c>
    </row>
    <row r="584" spans="1:17" x14ac:dyDescent="0.25">
      <c r="A584" t="s">
        <v>17</v>
      </c>
      <c r="B584" s="1">
        <v>41718</v>
      </c>
      <c r="C584" t="s">
        <v>486</v>
      </c>
      <c r="D584" t="str">
        <f>CONCATENATE("0060004905","")</f>
        <v>0060004905</v>
      </c>
      <c r="E584" t="str">
        <f>CONCATENATE("0120525000090       ","")</f>
        <v xml:space="preserve">0120525000090       </v>
      </c>
      <c r="F584" t="str">
        <f>CONCATENATE("605938787","")</f>
        <v>605938787</v>
      </c>
      <c r="G584" t="s">
        <v>1053</v>
      </c>
      <c r="H584" t="s">
        <v>1058</v>
      </c>
      <c r="I584" t="s">
        <v>1057</v>
      </c>
      <c r="J584" t="str">
        <f t="shared" si="71"/>
        <v>081205</v>
      </c>
      <c r="K584" t="s">
        <v>22</v>
      </c>
      <c r="L584" t="s">
        <v>23</v>
      </c>
      <c r="M584" t="str">
        <f>CONCATENATE("1","")</f>
        <v>1</v>
      </c>
      <c r="O584" t="str">
        <f t="shared" si="70"/>
        <v xml:space="preserve">1 </v>
      </c>
      <c r="P584">
        <v>29.95</v>
      </c>
      <c r="Q584" t="s">
        <v>24</v>
      </c>
    </row>
    <row r="585" spans="1:17" x14ac:dyDescent="0.25">
      <c r="A585" t="s">
        <v>17</v>
      </c>
      <c r="B585" s="1">
        <v>41718</v>
      </c>
      <c r="C585" t="s">
        <v>486</v>
      </c>
      <c r="D585" t="str">
        <f>CONCATENATE("0060004929","")</f>
        <v>0060004929</v>
      </c>
      <c r="E585" t="str">
        <f>CONCATENATE("0120525000300       ","")</f>
        <v xml:space="preserve">0120525000300       </v>
      </c>
      <c r="F585" t="str">
        <f>CONCATENATE("606591162","")</f>
        <v>606591162</v>
      </c>
      <c r="G585" t="s">
        <v>1053</v>
      </c>
      <c r="H585" t="s">
        <v>1059</v>
      </c>
      <c r="I585" t="s">
        <v>1057</v>
      </c>
      <c r="J585" t="str">
        <f t="shared" si="71"/>
        <v>081205</v>
      </c>
      <c r="K585" t="s">
        <v>22</v>
      </c>
      <c r="L585" t="s">
        <v>23</v>
      </c>
      <c r="M585" t="str">
        <f>CONCATENATE("1","")</f>
        <v>1</v>
      </c>
      <c r="O585" t="str">
        <f t="shared" si="70"/>
        <v xml:space="preserve">1 </v>
      </c>
      <c r="P585">
        <v>18.75</v>
      </c>
      <c r="Q585" t="s">
        <v>24</v>
      </c>
    </row>
    <row r="586" spans="1:17" x14ac:dyDescent="0.25">
      <c r="A586" t="s">
        <v>17</v>
      </c>
      <c r="B586" s="1">
        <v>41718</v>
      </c>
      <c r="C586" t="s">
        <v>486</v>
      </c>
      <c r="D586" t="str">
        <f>CONCATENATE("0060004945","")</f>
        <v>0060004945</v>
      </c>
      <c r="E586" t="str">
        <f>CONCATENATE("0120525000460       ","")</f>
        <v xml:space="preserve">0120525000460       </v>
      </c>
      <c r="F586" t="str">
        <f>CONCATENATE("00565571","")</f>
        <v>00565571</v>
      </c>
      <c r="G586" t="s">
        <v>1053</v>
      </c>
      <c r="H586" t="s">
        <v>1060</v>
      </c>
      <c r="I586" t="s">
        <v>1057</v>
      </c>
      <c r="J586" t="str">
        <f t="shared" si="71"/>
        <v>081205</v>
      </c>
      <c r="K586" t="s">
        <v>22</v>
      </c>
      <c r="L586" t="s">
        <v>23</v>
      </c>
      <c r="M586" t="str">
        <f>CONCATENATE("3","")</f>
        <v>3</v>
      </c>
      <c r="O586" t="str">
        <f t="shared" si="70"/>
        <v xml:space="preserve">1 </v>
      </c>
      <c r="P586">
        <v>51.65</v>
      </c>
      <c r="Q586" t="s">
        <v>28</v>
      </c>
    </row>
    <row r="587" spans="1:17" x14ac:dyDescent="0.25">
      <c r="A587" t="s">
        <v>17</v>
      </c>
      <c r="B587" s="1">
        <v>41718</v>
      </c>
      <c r="C587" t="s">
        <v>486</v>
      </c>
      <c r="D587" t="str">
        <f>CONCATENATE("0060004951","")</f>
        <v>0060004951</v>
      </c>
      <c r="E587" t="str">
        <f>CONCATENATE("0120525000520       ","")</f>
        <v xml:space="preserve">0120525000520       </v>
      </c>
      <c r="F587" t="str">
        <f>CONCATENATE("606084525","")</f>
        <v>606084525</v>
      </c>
      <c r="G587" t="s">
        <v>1053</v>
      </c>
      <c r="H587" t="s">
        <v>1061</v>
      </c>
      <c r="I587" t="s">
        <v>1057</v>
      </c>
      <c r="J587" t="str">
        <f t="shared" si="71"/>
        <v>081205</v>
      </c>
      <c r="K587" t="s">
        <v>22</v>
      </c>
      <c r="L587" t="s">
        <v>23</v>
      </c>
      <c r="M587" t="str">
        <f>CONCATENATE("1","")</f>
        <v>1</v>
      </c>
      <c r="O587" t="str">
        <f t="shared" si="70"/>
        <v xml:space="preserve">1 </v>
      </c>
      <c r="P587">
        <v>61.45</v>
      </c>
      <c r="Q587" t="s">
        <v>24</v>
      </c>
    </row>
    <row r="588" spans="1:17" x14ac:dyDescent="0.25">
      <c r="A588" t="s">
        <v>17</v>
      </c>
      <c r="B588" s="1">
        <v>41718</v>
      </c>
      <c r="C588" t="s">
        <v>486</v>
      </c>
      <c r="D588" t="str">
        <f>CONCATENATE("0060017697","")</f>
        <v>0060017697</v>
      </c>
      <c r="E588" t="str">
        <f>CONCATENATE("0120525000619       ","")</f>
        <v xml:space="preserve">0120525000619       </v>
      </c>
      <c r="F588" t="str">
        <f>CONCATENATE("507030662","")</f>
        <v>507030662</v>
      </c>
      <c r="G588" t="s">
        <v>1053</v>
      </c>
      <c r="H588" t="s">
        <v>1062</v>
      </c>
      <c r="I588" t="s">
        <v>1063</v>
      </c>
      <c r="J588" t="str">
        <f t="shared" si="71"/>
        <v>081205</v>
      </c>
      <c r="K588" t="s">
        <v>22</v>
      </c>
      <c r="L588" t="s">
        <v>23</v>
      </c>
      <c r="M588" t="str">
        <f>CONCATENATE("4","")</f>
        <v>4</v>
      </c>
      <c r="O588" t="str">
        <f t="shared" si="70"/>
        <v xml:space="preserve">1 </v>
      </c>
      <c r="P588">
        <v>2449.15</v>
      </c>
      <c r="Q588" t="s">
        <v>28</v>
      </c>
    </row>
    <row r="589" spans="1:17" x14ac:dyDescent="0.25">
      <c r="A589" t="s">
        <v>17</v>
      </c>
      <c r="B589" s="1">
        <v>41718</v>
      </c>
      <c r="C589" t="s">
        <v>486</v>
      </c>
      <c r="D589" t="str">
        <f>CONCATENATE("0060004966","")</f>
        <v>0060004966</v>
      </c>
      <c r="E589" t="str">
        <f>CONCATENATE("0120525000630       ","")</f>
        <v xml:space="preserve">0120525000630       </v>
      </c>
      <c r="F589" t="str">
        <f>CONCATENATE("605055502","")</f>
        <v>605055502</v>
      </c>
      <c r="G589" t="s">
        <v>1053</v>
      </c>
      <c r="H589" t="s">
        <v>1064</v>
      </c>
      <c r="I589" t="s">
        <v>1057</v>
      </c>
      <c r="J589" t="str">
        <f t="shared" si="71"/>
        <v>081205</v>
      </c>
      <c r="K589" t="s">
        <v>22</v>
      </c>
      <c r="L589" t="s">
        <v>23</v>
      </c>
      <c r="M589" t="str">
        <f t="shared" ref="M589:M610" si="72">CONCATENATE("1","")</f>
        <v>1</v>
      </c>
      <c r="O589" t="str">
        <f t="shared" si="70"/>
        <v xml:space="preserve">1 </v>
      </c>
      <c r="P589">
        <v>50.15</v>
      </c>
      <c r="Q589" t="s">
        <v>24</v>
      </c>
    </row>
    <row r="590" spans="1:17" x14ac:dyDescent="0.25">
      <c r="A590" t="s">
        <v>17</v>
      </c>
      <c r="B590" s="1">
        <v>41718</v>
      </c>
      <c r="C590" t="s">
        <v>486</v>
      </c>
      <c r="D590" t="str">
        <f>CONCATENATE("0060014536","")</f>
        <v>0060014536</v>
      </c>
      <c r="E590" t="str">
        <f>CONCATENATE("0120525000692       ","")</f>
        <v xml:space="preserve">0120525000692       </v>
      </c>
      <c r="F590" t="str">
        <f>CONCATENATE("605940400","")</f>
        <v>605940400</v>
      </c>
      <c r="G590" t="s">
        <v>1053</v>
      </c>
      <c r="H590" t="s">
        <v>1065</v>
      </c>
      <c r="I590" t="s">
        <v>1066</v>
      </c>
      <c r="J590" t="str">
        <f t="shared" si="71"/>
        <v>081205</v>
      </c>
      <c r="K590" t="s">
        <v>22</v>
      </c>
      <c r="L590" t="s">
        <v>23</v>
      </c>
      <c r="M590" t="str">
        <f t="shared" si="72"/>
        <v>1</v>
      </c>
      <c r="O590" t="str">
        <f t="shared" si="70"/>
        <v xml:space="preserve">1 </v>
      </c>
      <c r="P590">
        <v>20</v>
      </c>
      <c r="Q590" t="s">
        <v>24</v>
      </c>
    </row>
    <row r="591" spans="1:17" x14ac:dyDescent="0.25">
      <c r="A591" t="s">
        <v>17</v>
      </c>
      <c r="B591" s="1">
        <v>41718</v>
      </c>
      <c r="C591" t="s">
        <v>486</v>
      </c>
      <c r="D591" t="str">
        <f>CONCATENATE("0060018026","")</f>
        <v>0060018026</v>
      </c>
      <c r="E591" t="str">
        <f>CONCATENATE("0120525000729       ","")</f>
        <v xml:space="preserve">0120525000729       </v>
      </c>
      <c r="F591" t="str">
        <f>CONCATENATE("2128962","")</f>
        <v>2128962</v>
      </c>
      <c r="G591" t="s">
        <v>1053</v>
      </c>
      <c r="H591" t="s">
        <v>1067</v>
      </c>
      <c r="I591" t="s">
        <v>1068</v>
      </c>
      <c r="J591" t="str">
        <f t="shared" si="71"/>
        <v>081205</v>
      </c>
      <c r="K591" t="s">
        <v>22</v>
      </c>
      <c r="L591" t="s">
        <v>23</v>
      </c>
      <c r="M591" t="str">
        <f t="shared" si="72"/>
        <v>1</v>
      </c>
      <c r="O591" t="str">
        <f t="shared" si="70"/>
        <v xml:space="preserve">1 </v>
      </c>
      <c r="P591">
        <v>35.799999999999997</v>
      </c>
      <c r="Q591" t="s">
        <v>24</v>
      </c>
    </row>
    <row r="592" spans="1:17" x14ac:dyDescent="0.25">
      <c r="A592" t="s">
        <v>17</v>
      </c>
      <c r="B592" s="1">
        <v>41718</v>
      </c>
      <c r="C592" t="s">
        <v>486</v>
      </c>
      <c r="D592" t="str">
        <f>CONCATENATE("0060004980","")</f>
        <v>0060004980</v>
      </c>
      <c r="E592" t="str">
        <f>CONCATENATE("0120525000730       ","")</f>
        <v xml:space="preserve">0120525000730       </v>
      </c>
      <c r="F592" t="str">
        <f>CONCATENATE("605746233","")</f>
        <v>605746233</v>
      </c>
      <c r="G592" t="s">
        <v>1053</v>
      </c>
      <c r="H592" t="s">
        <v>1069</v>
      </c>
      <c r="I592" t="s">
        <v>1057</v>
      </c>
      <c r="J592" t="str">
        <f t="shared" si="71"/>
        <v>081205</v>
      </c>
      <c r="K592" t="s">
        <v>22</v>
      </c>
      <c r="L592" t="s">
        <v>23</v>
      </c>
      <c r="M592" t="str">
        <f t="shared" si="72"/>
        <v>1</v>
      </c>
      <c r="O592" t="str">
        <f t="shared" si="70"/>
        <v xml:space="preserve">1 </v>
      </c>
      <c r="P592">
        <v>46.45</v>
      </c>
      <c r="Q592" t="s">
        <v>24</v>
      </c>
    </row>
    <row r="593" spans="1:17" x14ac:dyDescent="0.25">
      <c r="A593" t="s">
        <v>17</v>
      </c>
      <c r="B593" s="1">
        <v>41718</v>
      </c>
      <c r="C593" t="s">
        <v>486</v>
      </c>
      <c r="D593" t="str">
        <f>CONCATENATE("0060018020","")</f>
        <v>0060018020</v>
      </c>
      <c r="E593" t="str">
        <f>CONCATENATE("0120525000732       ","")</f>
        <v xml:space="preserve">0120525000732       </v>
      </c>
      <c r="F593" t="str">
        <f>CONCATENATE("2128967","")</f>
        <v>2128967</v>
      </c>
      <c r="G593" t="s">
        <v>1053</v>
      </c>
      <c r="H593" t="s">
        <v>1070</v>
      </c>
      <c r="I593" t="s">
        <v>1029</v>
      </c>
      <c r="J593" t="str">
        <f t="shared" si="71"/>
        <v>081205</v>
      </c>
      <c r="K593" t="s">
        <v>22</v>
      </c>
      <c r="L593" t="s">
        <v>23</v>
      </c>
      <c r="M593" t="str">
        <f t="shared" si="72"/>
        <v>1</v>
      </c>
      <c r="O593" t="str">
        <f t="shared" si="70"/>
        <v xml:space="preserve">1 </v>
      </c>
      <c r="P593">
        <v>31.75</v>
      </c>
      <c r="Q593" t="s">
        <v>24</v>
      </c>
    </row>
    <row r="594" spans="1:17" x14ac:dyDescent="0.25">
      <c r="A594" t="s">
        <v>17</v>
      </c>
      <c r="B594" s="1">
        <v>41718</v>
      </c>
      <c r="C594" t="s">
        <v>486</v>
      </c>
      <c r="D594" t="str">
        <f>CONCATENATE("0060009675","")</f>
        <v>0060009675</v>
      </c>
      <c r="E594" t="str">
        <f>CONCATENATE("0120525000738       ","")</f>
        <v xml:space="preserve">0120525000738       </v>
      </c>
      <c r="F594" t="str">
        <f>CONCATENATE("00000289884","")</f>
        <v>00000289884</v>
      </c>
      <c r="G594" t="s">
        <v>1053</v>
      </c>
      <c r="H594" t="s">
        <v>1071</v>
      </c>
      <c r="I594" t="s">
        <v>1072</v>
      </c>
      <c r="J594" t="str">
        <f t="shared" si="71"/>
        <v>081205</v>
      </c>
      <c r="K594" t="s">
        <v>22</v>
      </c>
      <c r="L594" t="s">
        <v>23</v>
      </c>
      <c r="M594" t="str">
        <f t="shared" si="72"/>
        <v>1</v>
      </c>
      <c r="O594" t="str">
        <f t="shared" si="70"/>
        <v xml:space="preserve">1 </v>
      </c>
      <c r="P594">
        <v>18.600000000000001</v>
      </c>
      <c r="Q594" t="s">
        <v>24</v>
      </c>
    </row>
    <row r="595" spans="1:17" x14ac:dyDescent="0.25">
      <c r="A595" t="s">
        <v>17</v>
      </c>
      <c r="B595" s="1">
        <v>41718</v>
      </c>
      <c r="C595" t="s">
        <v>486</v>
      </c>
      <c r="D595" t="str">
        <f>CONCATENATE("0060018964","")</f>
        <v>0060018964</v>
      </c>
      <c r="E595" t="str">
        <f>CONCATENATE("0120525000916       ","")</f>
        <v xml:space="preserve">0120525000916       </v>
      </c>
      <c r="F595" t="str">
        <f>CONCATENATE("0606589982","")</f>
        <v>0606589982</v>
      </c>
      <c r="G595" t="s">
        <v>1053</v>
      </c>
      <c r="H595" t="s">
        <v>1073</v>
      </c>
      <c r="I595" t="s">
        <v>1074</v>
      </c>
      <c r="J595" t="str">
        <f t="shared" si="71"/>
        <v>081205</v>
      </c>
      <c r="K595" t="s">
        <v>22</v>
      </c>
      <c r="L595" t="s">
        <v>23</v>
      </c>
      <c r="M595" t="str">
        <f t="shared" si="72"/>
        <v>1</v>
      </c>
      <c r="O595" t="str">
        <f t="shared" si="70"/>
        <v xml:space="preserve">1 </v>
      </c>
      <c r="P595">
        <v>19.7</v>
      </c>
      <c r="Q595" t="s">
        <v>24</v>
      </c>
    </row>
    <row r="596" spans="1:17" x14ac:dyDescent="0.25">
      <c r="A596" t="s">
        <v>17</v>
      </c>
      <c r="B596" s="1">
        <v>41718</v>
      </c>
      <c r="C596" t="s">
        <v>486</v>
      </c>
      <c r="D596" t="str">
        <f>CONCATENATE("0060017225","")</f>
        <v>0060017225</v>
      </c>
      <c r="E596" t="str">
        <f>CONCATENATE("0120525000943       ","")</f>
        <v xml:space="preserve">0120525000943       </v>
      </c>
      <c r="F596" t="str">
        <f>CONCATENATE("1865381","")</f>
        <v>1865381</v>
      </c>
      <c r="G596" t="s">
        <v>1053</v>
      </c>
      <c r="H596" t="s">
        <v>1075</v>
      </c>
      <c r="I596" t="s">
        <v>1076</v>
      </c>
      <c r="J596" t="str">
        <f t="shared" si="71"/>
        <v>081205</v>
      </c>
      <c r="K596" t="s">
        <v>22</v>
      </c>
      <c r="L596" t="s">
        <v>23</v>
      </c>
      <c r="M596" t="str">
        <f t="shared" si="72"/>
        <v>1</v>
      </c>
      <c r="O596" t="str">
        <f t="shared" si="70"/>
        <v xml:space="preserve">1 </v>
      </c>
      <c r="P596">
        <v>76.650000000000006</v>
      </c>
      <c r="Q596" t="s">
        <v>24</v>
      </c>
    </row>
    <row r="597" spans="1:17" x14ac:dyDescent="0.25">
      <c r="A597" t="s">
        <v>17</v>
      </c>
      <c r="B597" s="1">
        <v>41718</v>
      </c>
      <c r="C597" t="s">
        <v>486</v>
      </c>
      <c r="D597" t="str">
        <f>CONCATENATE("0060005008","")</f>
        <v>0060005008</v>
      </c>
      <c r="E597" t="str">
        <f>CONCATENATE("0120525000954       ","")</f>
        <v xml:space="preserve">0120525000954       </v>
      </c>
      <c r="F597" t="str">
        <f>CONCATENATE("07552257","")</f>
        <v>07552257</v>
      </c>
      <c r="G597" t="s">
        <v>1053</v>
      </c>
      <c r="H597" t="s">
        <v>1077</v>
      </c>
      <c r="I597" t="s">
        <v>1078</v>
      </c>
      <c r="J597" t="str">
        <f t="shared" si="71"/>
        <v>081205</v>
      </c>
      <c r="K597" t="s">
        <v>22</v>
      </c>
      <c r="L597" t="s">
        <v>23</v>
      </c>
      <c r="M597" t="str">
        <f t="shared" si="72"/>
        <v>1</v>
      </c>
      <c r="O597" t="str">
        <f t="shared" si="70"/>
        <v xml:space="preserve">1 </v>
      </c>
      <c r="P597">
        <v>32.35</v>
      </c>
      <c r="Q597" t="s">
        <v>24</v>
      </c>
    </row>
    <row r="598" spans="1:17" x14ac:dyDescent="0.25">
      <c r="A598" t="s">
        <v>17</v>
      </c>
      <c r="B598" s="1">
        <v>41718</v>
      </c>
      <c r="C598" t="s">
        <v>486</v>
      </c>
      <c r="D598" t="str">
        <f>CONCATENATE("0060005013","")</f>
        <v>0060005013</v>
      </c>
      <c r="E598" t="str">
        <f>CONCATENATE("0120525000995       ","")</f>
        <v xml:space="preserve">0120525000995       </v>
      </c>
      <c r="F598" t="str">
        <f>CONCATENATE("07552315","")</f>
        <v>07552315</v>
      </c>
      <c r="G598" t="s">
        <v>1053</v>
      </c>
      <c r="H598" t="s">
        <v>1079</v>
      </c>
      <c r="I598" t="s">
        <v>1080</v>
      </c>
      <c r="J598" t="str">
        <f t="shared" si="71"/>
        <v>081205</v>
      </c>
      <c r="K598" t="s">
        <v>22</v>
      </c>
      <c r="L598" t="s">
        <v>23</v>
      </c>
      <c r="M598" t="str">
        <f t="shared" si="72"/>
        <v>1</v>
      </c>
      <c r="O598" t="str">
        <f t="shared" si="70"/>
        <v xml:space="preserve">1 </v>
      </c>
      <c r="P598">
        <v>17.100000000000001</v>
      </c>
      <c r="Q598" t="s">
        <v>24</v>
      </c>
    </row>
    <row r="599" spans="1:17" x14ac:dyDescent="0.25">
      <c r="A599" t="s">
        <v>17</v>
      </c>
      <c r="B599" s="1">
        <v>41718</v>
      </c>
      <c r="C599" t="s">
        <v>486</v>
      </c>
      <c r="D599" t="str">
        <f>CONCATENATE("0060014816","")</f>
        <v>0060014816</v>
      </c>
      <c r="E599" t="str">
        <f>CONCATENATE("0120526000128       ","")</f>
        <v xml:space="preserve">0120526000128       </v>
      </c>
      <c r="F599" t="str">
        <f>CONCATENATE("605946211","")</f>
        <v>605946211</v>
      </c>
      <c r="G599" t="s">
        <v>1053</v>
      </c>
      <c r="H599" t="s">
        <v>1081</v>
      </c>
      <c r="I599" t="s">
        <v>1082</v>
      </c>
      <c r="J599" t="str">
        <f t="shared" si="71"/>
        <v>081205</v>
      </c>
      <c r="K599" t="s">
        <v>22</v>
      </c>
      <c r="L599" t="s">
        <v>23</v>
      </c>
      <c r="M599" t="str">
        <f t="shared" si="72"/>
        <v>1</v>
      </c>
      <c r="O599" t="str">
        <f t="shared" si="70"/>
        <v xml:space="preserve">1 </v>
      </c>
      <c r="P599">
        <v>78</v>
      </c>
      <c r="Q599" t="s">
        <v>24</v>
      </c>
    </row>
    <row r="600" spans="1:17" x14ac:dyDescent="0.25">
      <c r="A600" t="s">
        <v>17</v>
      </c>
      <c r="B600" s="1">
        <v>41718</v>
      </c>
      <c r="C600" t="s">
        <v>486</v>
      </c>
      <c r="D600" t="str">
        <f>CONCATENATE("0060005027","")</f>
        <v>0060005027</v>
      </c>
      <c r="E600" t="str">
        <f>CONCATENATE("0120526000193       ","")</f>
        <v xml:space="preserve">0120526000193       </v>
      </c>
      <c r="F600" t="str">
        <f>CONCATENATE("07553261","")</f>
        <v>07553261</v>
      </c>
      <c r="G600" t="s">
        <v>1053</v>
      </c>
      <c r="H600" t="s">
        <v>1083</v>
      </c>
      <c r="I600" t="s">
        <v>1084</v>
      </c>
      <c r="J600" t="str">
        <f t="shared" si="71"/>
        <v>081205</v>
      </c>
      <c r="K600" t="s">
        <v>22</v>
      </c>
      <c r="L600" t="s">
        <v>23</v>
      </c>
      <c r="M600" t="str">
        <f t="shared" si="72"/>
        <v>1</v>
      </c>
      <c r="O600" t="str">
        <f t="shared" si="70"/>
        <v xml:space="preserve">1 </v>
      </c>
      <c r="P600">
        <v>32.6</v>
      </c>
      <c r="Q600" t="s">
        <v>24</v>
      </c>
    </row>
    <row r="601" spans="1:17" x14ac:dyDescent="0.25">
      <c r="A601" t="s">
        <v>17</v>
      </c>
      <c r="B601" s="1">
        <v>41718</v>
      </c>
      <c r="C601" t="s">
        <v>486</v>
      </c>
      <c r="D601" t="str">
        <f>CONCATENATE("0060011829","")</f>
        <v>0060011829</v>
      </c>
      <c r="E601" t="str">
        <f>CONCATENATE("0120526000220       ","")</f>
        <v xml:space="preserve">0120526000220       </v>
      </c>
      <c r="F601" t="str">
        <f>CONCATENATE("605113836","")</f>
        <v>605113836</v>
      </c>
      <c r="G601" t="s">
        <v>1053</v>
      </c>
      <c r="H601" t="s">
        <v>1085</v>
      </c>
      <c r="I601" t="s">
        <v>1086</v>
      </c>
      <c r="J601" t="str">
        <f t="shared" si="71"/>
        <v>081205</v>
      </c>
      <c r="K601" t="s">
        <v>22</v>
      </c>
      <c r="L601" t="s">
        <v>23</v>
      </c>
      <c r="M601" t="str">
        <f t="shared" si="72"/>
        <v>1</v>
      </c>
      <c r="O601" t="str">
        <f t="shared" si="70"/>
        <v xml:space="preserve">1 </v>
      </c>
      <c r="P601">
        <v>18</v>
      </c>
      <c r="Q601" t="s">
        <v>24</v>
      </c>
    </row>
    <row r="602" spans="1:17" x14ac:dyDescent="0.25">
      <c r="A602" t="s">
        <v>17</v>
      </c>
      <c r="B602" s="1">
        <v>41718</v>
      </c>
      <c r="C602" t="s">
        <v>486</v>
      </c>
      <c r="D602" t="str">
        <f>CONCATENATE("0060011502","")</f>
        <v>0060011502</v>
      </c>
      <c r="E602" t="str">
        <f>CONCATENATE("0120526000232       ","")</f>
        <v xml:space="preserve">0120526000232       </v>
      </c>
      <c r="F602" t="str">
        <f>CONCATENATE("605284556","")</f>
        <v>605284556</v>
      </c>
      <c r="G602" t="s">
        <v>1053</v>
      </c>
      <c r="H602" t="s">
        <v>1087</v>
      </c>
      <c r="I602" t="s">
        <v>1088</v>
      </c>
      <c r="J602" t="str">
        <f t="shared" si="71"/>
        <v>081205</v>
      </c>
      <c r="K602" t="s">
        <v>22</v>
      </c>
      <c r="L602" t="s">
        <v>23</v>
      </c>
      <c r="M602" t="str">
        <f t="shared" si="72"/>
        <v>1</v>
      </c>
      <c r="O602" t="str">
        <f t="shared" si="70"/>
        <v xml:space="preserve">1 </v>
      </c>
      <c r="P602">
        <v>24.75</v>
      </c>
      <c r="Q602" t="s">
        <v>24</v>
      </c>
    </row>
    <row r="603" spans="1:17" x14ac:dyDescent="0.25">
      <c r="A603" t="s">
        <v>17</v>
      </c>
      <c r="B603" s="1">
        <v>41718</v>
      </c>
      <c r="C603" t="s">
        <v>486</v>
      </c>
      <c r="D603" t="str">
        <f>CONCATENATE("0060005043","")</f>
        <v>0060005043</v>
      </c>
      <c r="E603" t="str">
        <f>CONCATENATE("0120526000270       ","")</f>
        <v xml:space="preserve">0120526000270       </v>
      </c>
      <c r="F603" t="str">
        <f>CONCATENATE("00000001845","")</f>
        <v>00000001845</v>
      </c>
      <c r="G603" t="s">
        <v>1053</v>
      </c>
      <c r="H603" t="s">
        <v>1089</v>
      </c>
      <c r="I603" t="s">
        <v>1057</v>
      </c>
      <c r="J603" t="str">
        <f t="shared" si="71"/>
        <v>081205</v>
      </c>
      <c r="K603" t="s">
        <v>22</v>
      </c>
      <c r="L603" t="s">
        <v>23</v>
      </c>
      <c r="M603" t="str">
        <f t="shared" si="72"/>
        <v>1</v>
      </c>
      <c r="O603" t="str">
        <f t="shared" si="70"/>
        <v xml:space="preserve">1 </v>
      </c>
      <c r="P603">
        <v>17.25</v>
      </c>
      <c r="Q603" t="s">
        <v>24</v>
      </c>
    </row>
    <row r="604" spans="1:17" x14ac:dyDescent="0.25">
      <c r="A604" t="s">
        <v>17</v>
      </c>
      <c r="B604" s="1">
        <v>41718</v>
      </c>
      <c r="C604" t="s">
        <v>486</v>
      </c>
      <c r="D604" t="str">
        <f>CONCATENATE("0060015558","")</f>
        <v>0060015558</v>
      </c>
      <c r="E604" t="str">
        <f>CONCATENATE("0120526000305       ","")</f>
        <v xml:space="preserve">0120526000305       </v>
      </c>
      <c r="F604" t="str">
        <f>CONCATENATE("605932699","")</f>
        <v>605932699</v>
      </c>
      <c r="G604" t="s">
        <v>1053</v>
      </c>
      <c r="H604" t="s">
        <v>1090</v>
      </c>
      <c r="I604" t="str">
        <f>CONCATENATE("3-CRUCES-DE-ORO-KCAURI","")</f>
        <v>3-CRUCES-DE-ORO-KCAURI</v>
      </c>
      <c r="J604" t="str">
        <f t="shared" si="71"/>
        <v>081205</v>
      </c>
      <c r="K604" t="s">
        <v>22</v>
      </c>
      <c r="L604" t="s">
        <v>23</v>
      </c>
      <c r="M604" t="str">
        <f t="shared" si="72"/>
        <v>1</v>
      </c>
      <c r="O604" t="str">
        <f t="shared" si="70"/>
        <v xml:space="preserve">1 </v>
      </c>
      <c r="P604">
        <v>27.7</v>
      </c>
      <c r="Q604" t="s">
        <v>24</v>
      </c>
    </row>
    <row r="605" spans="1:17" x14ac:dyDescent="0.25">
      <c r="A605" t="s">
        <v>17</v>
      </c>
      <c r="B605" s="1">
        <v>41718</v>
      </c>
      <c r="C605" t="s">
        <v>486</v>
      </c>
      <c r="D605" t="str">
        <f>CONCATENATE("0060013758","")</f>
        <v>0060013758</v>
      </c>
      <c r="E605" t="str">
        <f>CONCATENATE("0120526000326       ","")</f>
        <v xml:space="preserve">0120526000326       </v>
      </c>
      <c r="F605" t="str">
        <f>CONCATENATE("605621046","")</f>
        <v>605621046</v>
      </c>
      <c r="G605" t="s">
        <v>1053</v>
      </c>
      <c r="H605" t="s">
        <v>1091</v>
      </c>
      <c r="I605" t="s">
        <v>1092</v>
      </c>
      <c r="J605" t="str">
        <f t="shared" si="71"/>
        <v>081205</v>
      </c>
      <c r="K605" t="s">
        <v>22</v>
      </c>
      <c r="L605" t="s">
        <v>23</v>
      </c>
      <c r="M605" t="str">
        <f t="shared" si="72"/>
        <v>1</v>
      </c>
      <c r="O605" t="str">
        <f t="shared" si="70"/>
        <v xml:space="preserve">1 </v>
      </c>
      <c r="P605">
        <v>45.65</v>
      </c>
      <c r="Q605" t="s">
        <v>24</v>
      </c>
    </row>
    <row r="606" spans="1:17" x14ac:dyDescent="0.25">
      <c r="A606" t="s">
        <v>17</v>
      </c>
      <c r="B606" s="1">
        <v>41718</v>
      </c>
      <c r="C606" t="s">
        <v>486</v>
      </c>
      <c r="D606" t="str">
        <f>CONCATENATE("0060017751","")</f>
        <v>0060017751</v>
      </c>
      <c r="E606" t="str">
        <f>CONCATENATE("0120526000354       ","")</f>
        <v xml:space="preserve">0120526000354       </v>
      </c>
      <c r="F606" t="str">
        <f>CONCATENATE("2122747","")</f>
        <v>2122747</v>
      </c>
      <c r="G606" t="s">
        <v>1053</v>
      </c>
      <c r="H606" t="s">
        <v>1093</v>
      </c>
      <c r="I606" t="s">
        <v>1094</v>
      </c>
      <c r="J606" t="str">
        <f t="shared" si="71"/>
        <v>081205</v>
      </c>
      <c r="K606" t="s">
        <v>22</v>
      </c>
      <c r="L606" t="s">
        <v>23</v>
      </c>
      <c r="M606" t="str">
        <f t="shared" si="72"/>
        <v>1</v>
      </c>
      <c r="O606" t="str">
        <f t="shared" si="70"/>
        <v xml:space="preserve">1 </v>
      </c>
      <c r="P606">
        <v>17.7</v>
      </c>
      <c r="Q606" t="s">
        <v>24</v>
      </c>
    </row>
    <row r="607" spans="1:17" x14ac:dyDescent="0.25">
      <c r="A607" t="s">
        <v>17</v>
      </c>
      <c r="B607" s="1">
        <v>41718</v>
      </c>
      <c r="C607" t="s">
        <v>486</v>
      </c>
      <c r="D607" t="str">
        <f>CONCATENATE("0060017750","")</f>
        <v>0060017750</v>
      </c>
      <c r="E607" t="str">
        <f>CONCATENATE("0120526000355       ","")</f>
        <v xml:space="preserve">0120526000355       </v>
      </c>
      <c r="F607" t="str">
        <f>CONCATENATE("2122754","")</f>
        <v>2122754</v>
      </c>
      <c r="G607" t="s">
        <v>1053</v>
      </c>
      <c r="H607" t="s">
        <v>1095</v>
      </c>
      <c r="I607" t="s">
        <v>1096</v>
      </c>
      <c r="J607" t="str">
        <f t="shared" si="71"/>
        <v>081205</v>
      </c>
      <c r="K607" t="s">
        <v>22</v>
      </c>
      <c r="L607" t="s">
        <v>23</v>
      </c>
      <c r="M607" t="str">
        <f t="shared" si="72"/>
        <v>1</v>
      </c>
      <c r="O607" t="str">
        <f t="shared" si="70"/>
        <v xml:space="preserve">1 </v>
      </c>
      <c r="P607">
        <v>23.9</v>
      </c>
      <c r="Q607" t="s">
        <v>24</v>
      </c>
    </row>
    <row r="608" spans="1:17" x14ac:dyDescent="0.25">
      <c r="A608" t="s">
        <v>17</v>
      </c>
      <c r="B608" s="1">
        <v>41718</v>
      </c>
      <c r="C608" t="s">
        <v>486</v>
      </c>
      <c r="D608" t="str">
        <f>CONCATENATE("0060005069","")</f>
        <v>0060005069</v>
      </c>
      <c r="E608" t="str">
        <f>CONCATENATE("0120526000366       ","")</f>
        <v xml:space="preserve">0120526000366       </v>
      </c>
      <c r="F608" t="str">
        <f>CONCATENATE("2188096","")</f>
        <v>2188096</v>
      </c>
      <c r="G608" t="s">
        <v>1053</v>
      </c>
      <c r="H608" t="s">
        <v>1097</v>
      </c>
      <c r="I608" t="s">
        <v>1098</v>
      </c>
      <c r="J608" t="str">
        <f t="shared" si="71"/>
        <v>081205</v>
      </c>
      <c r="K608" t="s">
        <v>22</v>
      </c>
      <c r="L608" t="s">
        <v>23</v>
      </c>
      <c r="M608" t="str">
        <f t="shared" si="72"/>
        <v>1</v>
      </c>
      <c r="O608" t="str">
        <f t="shared" si="70"/>
        <v xml:space="preserve">1 </v>
      </c>
      <c r="P608">
        <v>22.4</v>
      </c>
      <c r="Q608" t="s">
        <v>24</v>
      </c>
    </row>
    <row r="609" spans="1:17" x14ac:dyDescent="0.25">
      <c r="A609" t="s">
        <v>17</v>
      </c>
      <c r="B609" s="1">
        <v>41718</v>
      </c>
      <c r="C609" t="s">
        <v>486</v>
      </c>
      <c r="D609" t="str">
        <f>CONCATENATE("0060005070","")</f>
        <v>0060005070</v>
      </c>
      <c r="E609" t="str">
        <f>CONCATENATE("0120526000370       ","")</f>
        <v xml:space="preserve">0120526000370       </v>
      </c>
      <c r="F609" t="str">
        <f>CONCATENATE("605054186","")</f>
        <v>605054186</v>
      </c>
      <c r="G609" t="s">
        <v>1053</v>
      </c>
      <c r="H609" t="s">
        <v>1099</v>
      </c>
      <c r="I609" t="s">
        <v>1057</v>
      </c>
      <c r="J609" t="str">
        <f t="shared" si="71"/>
        <v>081205</v>
      </c>
      <c r="K609" t="s">
        <v>22</v>
      </c>
      <c r="L609" t="s">
        <v>23</v>
      </c>
      <c r="M609" t="str">
        <f t="shared" si="72"/>
        <v>1</v>
      </c>
      <c r="O609" t="str">
        <f t="shared" si="70"/>
        <v xml:space="preserve">1 </v>
      </c>
      <c r="P609">
        <v>60.5</v>
      </c>
      <c r="Q609" t="s">
        <v>24</v>
      </c>
    </row>
    <row r="610" spans="1:17" x14ac:dyDescent="0.25">
      <c r="A610" t="s">
        <v>17</v>
      </c>
      <c r="B610" s="1">
        <v>41718</v>
      </c>
      <c r="C610" t="s">
        <v>486</v>
      </c>
      <c r="D610" t="str">
        <f>CONCATENATE("0060005075","")</f>
        <v>0060005075</v>
      </c>
      <c r="E610" t="str">
        <f>CONCATENATE("0120526000410       ","")</f>
        <v xml:space="preserve">0120526000410       </v>
      </c>
      <c r="F610" t="str">
        <f>CONCATENATE("605746736","")</f>
        <v>605746736</v>
      </c>
      <c r="G610" t="s">
        <v>1053</v>
      </c>
      <c r="H610" t="s">
        <v>1100</v>
      </c>
      <c r="I610" t="s">
        <v>1098</v>
      </c>
      <c r="J610" t="str">
        <f t="shared" si="71"/>
        <v>081205</v>
      </c>
      <c r="K610" t="s">
        <v>22</v>
      </c>
      <c r="L610" t="s">
        <v>23</v>
      </c>
      <c r="M610" t="str">
        <f t="shared" si="72"/>
        <v>1</v>
      </c>
      <c r="O610" t="str">
        <f t="shared" si="70"/>
        <v xml:space="preserve">1 </v>
      </c>
      <c r="P610">
        <v>31.35</v>
      </c>
      <c r="Q610" t="s">
        <v>24</v>
      </c>
    </row>
    <row r="611" spans="1:17" x14ac:dyDescent="0.25">
      <c r="A611" t="s">
        <v>17</v>
      </c>
      <c r="B611" s="1">
        <v>41718</v>
      </c>
      <c r="C611" t="s">
        <v>786</v>
      </c>
      <c r="D611" t="str">
        <f>CONCATENATE("0060012095","")</f>
        <v>0060012095</v>
      </c>
      <c r="E611" t="str">
        <f>CONCATENATE("0120527000390       ","")</f>
        <v xml:space="preserve">0120527000390       </v>
      </c>
      <c r="F611" t="str">
        <f>CONCATENATE("7032900","")</f>
        <v>7032900</v>
      </c>
      <c r="G611" t="s">
        <v>1101</v>
      </c>
      <c r="H611" t="s">
        <v>1102</v>
      </c>
      <c r="I611" t="s">
        <v>1103</v>
      </c>
      <c r="J611" t="str">
        <f t="shared" ref="J611:J642" si="73">CONCATENATE("081210","")</f>
        <v>081210</v>
      </c>
      <c r="K611" t="s">
        <v>22</v>
      </c>
      <c r="L611" t="s">
        <v>23</v>
      </c>
      <c r="M611" t="str">
        <f>CONCATENATE("3","")</f>
        <v>3</v>
      </c>
      <c r="O611" t="str">
        <f t="shared" si="70"/>
        <v xml:space="preserve">1 </v>
      </c>
      <c r="P611">
        <v>53.95</v>
      </c>
      <c r="Q611" t="s">
        <v>28</v>
      </c>
    </row>
    <row r="612" spans="1:17" x14ac:dyDescent="0.25">
      <c r="A612" t="s">
        <v>17</v>
      </c>
      <c r="B612" s="1">
        <v>41718</v>
      </c>
      <c r="C612" t="s">
        <v>786</v>
      </c>
      <c r="D612" t="str">
        <f>CONCATENATE("0060005130","")</f>
        <v>0060005130</v>
      </c>
      <c r="E612" t="str">
        <f>CONCATENATE("0120527000890       ","")</f>
        <v xml:space="preserve">0120527000890       </v>
      </c>
      <c r="F612" t="str">
        <f>CONCATENATE("606088074","")</f>
        <v>606088074</v>
      </c>
      <c r="G612" t="s">
        <v>1101</v>
      </c>
      <c r="H612" t="s">
        <v>1104</v>
      </c>
      <c r="I612" t="s">
        <v>1105</v>
      </c>
      <c r="J612" t="str">
        <f t="shared" si="73"/>
        <v>081210</v>
      </c>
      <c r="K612" t="s">
        <v>22</v>
      </c>
      <c r="L612" t="s">
        <v>23</v>
      </c>
      <c r="M612" t="str">
        <f>CONCATENATE("1","")</f>
        <v>1</v>
      </c>
      <c r="O612" t="str">
        <f t="shared" si="70"/>
        <v xml:space="preserve">1 </v>
      </c>
      <c r="P612">
        <v>19.5</v>
      </c>
      <c r="Q612" t="s">
        <v>24</v>
      </c>
    </row>
    <row r="613" spans="1:17" x14ac:dyDescent="0.25">
      <c r="A613" t="s">
        <v>17</v>
      </c>
      <c r="B613" s="1">
        <v>41718</v>
      </c>
      <c r="C613" t="s">
        <v>786</v>
      </c>
      <c r="D613" t="str">
        <f>CONCATENATE("0060005132","")</f>
        <v>0060005132</v>
      </c>
      <c r="E613" t="str">
        <f>CONCATENATE("0120527000930       ","")</f>
        <v xml:space="preserve">0120527000930       </v>
      </c>
      <c r="F613" t="str">
        <f>CONCATENATE("605771730","")</f>
        <v>605771730</v>
      </c>
      <c r="G613" t="s">
        <v>1101</v>
      </c>
      <c r="H613" t="s">
        <v>1106</v>
      </c>
      <c r="I613" t="s">
        <v>1105</v>
      </c>
      <c r="J613" t="str">
        <f t="shared" si="73"/>
        <v>081210</v>
      </c>
      <c r="K613" t="s">
        <v>22</v>
      </c>
      <c r="L613" t="s">
        <v>23</v>
      </c>
      <c r="M613" t="str">
        <f>CONCATENATE("1","")</f>
        <v>1</v>
      </c>
      <c r="O613" t="str">
        <f t="shared" si="70"/>
        <v xml:space="preserve">1 </v>
      </c>
      <c r="P613">
        <v>21.75</v>
      </c>
      <c r="Q613" t="s">
        <v>24</v>
      </c>
    </row>
    <row r="614" spans="1:17" x14ac:dyDescent="0.25">
      <c r="A614" t="s">
        <v>17</v>
      </c>
      <c r="B614" s="1">
        <v>41718</v>
      </c>
      <c r="C614" t="s">
        <v>786</v>
      </c>
      <c r="D614" t="str">
        <f>CONCATENATE("0060005134","")</f>
        <v>0060005134</v>
      </c>
      <c r="E614" t="str">
        <f>CONCATENATE("0120527000980       ","")</f>
        <v xml:space="preserve">0120527000980       </v>
      </c>
      <c r="F614" t="str">
        <f>CONCATENATE("01256435","")</f>
        <v>01256435</v>
      </c>
      <c r="G614" t="s">
        <v>1101</v>
      </c>
      <c r="H614" t="s">
        <v>1107</v>
      </c>
      <c r="I614" t="s">
        <v>1105</v>
      </c>
      <c r="J614" t="str">
        <f t="shared" si="73"/>
        <v>081210</v>
      </c>
      <c r="K614" t="s">
        <v>22</v>
      </c>
      <c r="L614" t="s">
        <v>23</v>
      </c>
      <c r="M614" t="str">
        <f>CONCATENATE("1","")</f>
        <v>1</v>
      </c>
      <c r="O614" t="str">
        <f t="shared" si="70"/>
        <v xml:space="preserve">1 </v>
      </c>
      <c r="P614">
        <v>25.95</v>
      </c>
      <c r="Q614" t="s">
        <v>24</v>
      </c>
    </row>
    <row r="615" spans="1:17" x14ac:dyDescent="0.25">
      <c r="A615" t="s">
        <v>17</v>
      </c>
      <c r="B615" s="1">
        <v>41718</v>
      </c>
      <c r="C615" t="s">
        <v>786</v>
      </c>
      <c r="D615" t="str">
        <f>CONCATENATE("0060012721","")</f>
        <v>0060012721</v>
      </c>
      <c r="E615" t="str">
        <f>CONCATENATE("0120527001050       ","")</f>
        <v xml:space="preserve">0120527001050       </v>
      </c>
      <c r="F615" t="str">
        <f>CONCATENATE("110826","")</f>
        <v>110826</v>
      </c>
      <c r="G615" t="s">
        <v>1101</v>
      </c>
      <c r="H615" t="s">
        <v>1108</v>
      </c>
      <c r="I615" t="s">
        <v>1109</v>
      </c>
      <c r="J615" t="str">
        <f t="shared" si="73"/>
        <v>081210</v>
      </c>
      <c r="K615" t="s">
        <v>22</v>
      </c>
      <c r="L615" t="s">
        <v>23</v>
      </c>
      <c r="M615" t="str">
        <f>CONCATENATE("3","")</f>
        <v>3</v>
      </c>
      <c r="O615" t="str">
        <f>CONCATENATE("2 ","")</f>
        <v xml:space="preserve">2 </v>
      </c>
      <c r="P615">
        <v>18.350000000000001</v>
      </c>
      <c r="Q615" t="s">
        <v>28</v>
      </c>
    </row>
    <row r="616" spans="1:17" x14ac:dyDescent="0.25">
      <c r="A616" t="s">
        <v>17</v>
      </c>
      <c r="B616" s="1">
        <v>41718</v>
      </c>
      <c r="C616" t="s">
        <v>786</v>
      </c>
      <c r="D616" t="str">
        <f>CONCATENATE("0060015836","")</f>
        <v>0060015836</v>
      </c>
      <c r="E616" t="str">
        <f>CONCATENATE("0120527001340       ","")</f>
        <v xml:space="preserve">0120527001340       </v>
      </c>
      <c r="F616" t="str">
        <f>CONCATENATE("1672192","")</f>
        <v>1672192</v>
      </c>
      <c r="G616" t="s">
        <v>1101</v>
      </c>
      <c r="H616" t="s">
        <v>1110</v>
      </c>
      <c r="I616" t="s">
        <v>1111</v>
      </c>
      <c r="J616" t="str">
        <f t="shared" si="73"/>
        <v>081210</v>
      </c>
      <c r="K616" t="s">
        <v>22</v>
      </c>
      <c r="L616" t="s">
        <v>23</v>
      </c>
      <c r="M616" t="str">
        <f t="shared" ref="M616:M679" si="74">CONCATENATE("1","")</f>
        <v>1</v>
      </c>
      <c r="O616" t="str">
        <f>CONCATENATE("1 ","")</f>
        <v xml:space="preserve">1 </v>
      </c>
      <c r="P616">
        <v>28.85</v>
      </c>
      <c r="Q616" t="s">
        <v>24</v>
      </c>
    </row>
    <row r="617" spans="1:17" x14ac:dyDescent="0.25">
      <c r="A617" t="s">
        <v>17</v>
      </c>
      <c r="B617" s="1">
        <v>41718</v>
      </c>
      <c r="C617" t="s">
        <v>786</v>
      </c>
      <c r="D617" t="str">
        <f>CONCATENATE("0060016043","")</f>
        <v>0060016043</v>
      </c>
      <c r="E617" t="str">
        <f>CONCATENATE("0120527001345       ","")</f>
        <v xml:space="preserve">0120527001345       </v>
      </c>
      <c r="F617" t="str">
        <f>CONCATENATE("1674536","")</f>
        <v>1674536</v>
      </c>
      <c r="G617" t="s">
        <v>1101</v>
      </c>
      <c r="H617" t="s">
        <v>1112</v>
      </c>
      <c r="I617" t="s">
        <v>1111</v>
      </c>
      <c r="J617" t="str">
        <f t="shared" si="73"/>
        <v>081210</v>
      </c>
      <c r="K617" t="s">
        <v>22</v>
      </c>
      <c r="L617" t="s">
        <v>23</v>
      </c>
      <c r="M617" t="str">
        <f t="shared" si="74"/>
        <v>1</v>
      </c>
      <c r="O617" t="str">
        <f>CONCATENATE("2 ","")</f>
        <v xml:space="preserve">2 </v>
      </c>
      <c r="P617">
        <v>49.85</v>
      </c>
      <c r="Q617" t="s">
        <v>24</v>
      </c>
    </row>
    <row r="618" spans="1:17" x14ac:dyDescent="0.25">
      <c r="A618" t="s">
        <v>17</v>
      </c>
      <c r="B618" s="1">
        <v>41718</v>
      </c>
      <c r="C618" t="s">
        <v>786</v>
      </c>
      <c r="D618" t="str">
        <f>CONCATENATE("0060005148","")</f>
        <v>0060005148</v>
      </c>
      <c r="E618" t="str">
        <f>CONCATENATE("0120528000090       ","")</f>
        <v xml:space="preserve">0120528000090       </v>
      </c>
      <c r="F618" t="str">
        <f>CONCATENATE("605056220","")</f>
        <v>605056220</v>
      </c>
      <c r="G618" t="s">
        <v>1113</v>
      </c>
      <c r="H618" t="s">
        <v>1114</v>
      </c>
      <c r="I618" t="s">
        <v>1115</v>
      </c>
      <c r="J618" t="str">
        <f t="shared" si="73"/>
        <v>081210</v>
      </c>
      <c r="K618" t="s">
        <v>22</v>
      </c>
      <c r="L618" t="s">
        <v>23</v>
      </c>
      <c r="M618" t="str">
        <f t="shared" si="74"/>
        <v>1</v>
      </c>
      <c r="O618" t="str">
        <f t="shared" ref="O618:O624" si="75">CONCATENATE("1 ","")</f>
        <v xml:space="preserve">1 </v>
      </c>
      <c r="P618">
        <v>15.25</v>
      </c>
      <c r="Q618" t="s">
        <v>24</v>
      </c>
    </row>
    <row r="619" spans="1:17" x14ac:dyDescent="0.25">
      <c r="A619" t="s">
        <v>17</v>
      </c>
      <c r="B619" s="1">
        <v>41718</v>
      </c>
      <c r="C619" t="s">
        <v>786</v>
      </c>
      <c r="D619" t="str">
        <f>CONCATENATE("0060005159","")</f>
        <v>0060005159</v>
      </c>
      <c r="E619" t="str">
        <f>CONCATENATE("0120528000245       ","")</f>
        <v xml:space="preserve">0120528000245       </v>
      </c>
      <c r="F619" t="str">
        <f>CONCATENATE("605772703","")</f>
        <v>605772703</v>
      </c>
      <c r="G619" t="s">
        <v>1113</v>
      </c>
      <c r="H619" t="s">
        <v>1116</v>
      </c>
      <c r="I619" t="s">
        <v>1117</v>
      </c>
      <c r="J619" t="str">
        <f t="shared" si="73"/>
        <v>081210</v>
      </c>
      <c r="K619" t="s">
        <v>22</v>
      </c>
      <c r="L619" t="s">
        <v>23</v>
      </c>
      <c r="M619" t="str">
        <f t="shared" si="74"/>
        <v>1</v>
      </c>
      <c r="O619" t="str">
        <f t="shared" si="75"/>
        <v xml:space="preserve">1 </v>
      </c>
      <c r="P619">
        <v>22.3</v>
      </c>
      <c r="Q619" t="s">
        <v>24</v>
      </c>
    </row>
    <row r="620" spans="1:17" x14ac:dyDescent="0.25">
      <c r="A620" t="s">
        <v>17</v>
      </c>
      <c r="B620" s="1">
        <v>41718</v>
      </c>
      <c r="C620" t="s">
        <v>786</v>
      </c>
      <c r="D620" t="str">
        <f>CONCATENATE("0060005174","")</f>
        <v>0060005174</v>
      </c>
      <c r="E620" t="str">
        <f>CONCATENATE("0120528000450       ","")</f>
        <v xml:space="preserve">0120528000450       </v>
      </c>
      <c r="F620" t="str">
        <f>CONCATENATE("00017716","")</f>
        <v>00017716</v>
      </c>
      <c r="G620" t="s">
        <v>1113</v>
      </c>
      <c r="H620" t="s">
        <v>1118</v>
      </c>
      <c r="I620" t="s">
        <v>1115</v>
      </c>
      <c r="J620" t="str">
        <f t="shared" si="73"/>
        <v>081210</v>
      </c>
      <c r="K620" t="s">
        <v>22</v>
      </c>
      <c r="L620" t="s">
        <v>23</v>
      </c>
      <c r="M620" t="str">
        <f t="shared" si="74"/>
        <v>1</v>
      </c>
      <c r="O620" t="str">
        <f t="shared" si="75"/>
        <v xml:space="preserve">1 </v>
      </c>
      <c r="P620">
        <v>53.35</v>
      </c>
      <c r="Q620" t="s">
        <v>24</v>
      </c>
    </row>
    <row r="621" spans="1:17" x14ac:dyDescent="0.25">
      <c r="A621" t="s">
        <v>17</v>
      </c>
      <c r="B621" s="1">
        <v>41718</v>
      </c>
      <c r="C621" t="s">
        <v>786</v>
      </c>
      <c r="D621" t="str">
        <f>CONCATENATE("0060005177","")</f>
        <v>0060005177</v>
      </c>
      <c r="E621" t="str">
        <f>CONCATENATE("0120528000490       ","")</f>
        <v xml:space="preserve">0120528000490       </v>
      </c>
      <c r="F621" t="str">
        <f>CONCATENATE("01422218","")</f>
        <v>01422218</v>
      </c>
      <c r="G621" t="s">
        <v>1113</v>
      </c>
      <c r="H621" t="s">
        <v>1119</v>
      </c>
      <c r="I621" t="s">
        <v>1115</v>
      </c>
      <c r="J621" t="str">
        <f t="shared" si="73"/>
        <v>081210</v>
      </c>
      <c r="K621" t="s">
        <v>22</v>
      </c>
      <c r="L621" t="s">
        <v>23</v>
      </c>
      <c r="M621" t="str">
        <f t="shared" si="74"/>
        <v>1</v>
      </c>
      <c r="O621" t="str">
        <f t="shared" si="75"/>
        <v xml:space="preserve">1 </v>
      </c>
      <c r="P621">
        <v>23.95</v>
      </c>
      <c r="Q621" t="s">
        <v>24</v>
      </c>
    </row>
    <row r="622" spans="1:17" x14ac:dyDescent="0.25">
      <c r="A622" t="s">
        <v>17</v>
      </c>
      <c r="B622" s="1">
        <v>41718</v>
      </c>
      <c r="C622" t="s">
        <v>786</v>
      </c>
      <c r="D622" t="str">
        <f>CONCATENATE("0060005185","")</f>
        <v>0060005185</v>
      </c>
      <c r="E622" t="str">
        <f>CONCATENATE("0120528000670       ","")</f>
        <v xml:space="preserve">0120528000670       </v>
      </c>
      <c r="F622" t="str">
        <f>CONCATENATE("606088076","")</f>
        <v>606088076</v>
      </c>
      <c r="G622" t="s">
        <v>1113</v>
      </c>
      <c r="H622" t="s">
        <v>1120</v>
      </c>
      <c r="I622" t="s">
        <v>1115</v>
      </c>
      <c r="J622" t="str">
        <f t="shared" si="73"/>
        <v>081210</v>
      </c>
      <c r="K622" t="s">
        <v>22</v>
      </c>
      <c r="L622" t="s">
        <v>23</v>
      </c>
      <c r="M622" t="str">
        <f t="shared" si="74"/>
        <v>1</v>
      </c>
      <c r="O622" t="str">
        <f t="shared" si="75"/>
        <v xml:space="preserve">1 </v>
      </c>
      <c r="P622">
        <v>31.3</v>
      </c>
      <c r="Q622" t="s">
        <v>24</v>
      </c>
    </row>
    <row r="623" spans="1:17" x14ac:dyDescent="0.25">
      <c r="A623" t="s">
        <v>17</v>
      </c>
      <c r="B623" s="1">
        <v>41718</v>
      </c>
      <c r="C623" t="s">
        <v>786</v>
      </c>
      <c r="D623" t="str">
        <f>CONCATENATE("0060005192","")</f>
        <v>0060005192</v>
      </c>
      <c r="E623" t="str">
        <f>CONCATENATE("0120528001120       ","")</f>
        <v xml:space="preserve">0120528001120       </v>
      </c>
      <c r="F623" t="str">
        <f>CONCATENATE("606088073","")</f>
        <v>606088073</v>
      </c>
      <c r="G623" t="s">
        <v>1113</v>
      </c>
      <c r="H623" t="s">
        <v>1121</v>
      </c>
      <c r="I623" t="s">
        <v>1115</v>
      </c>
      <c r="J623" t="str">
        <f t="shared" si="73"/>
        <v>081210</v>
      </c>
      <c r="K623" t="s">
        <v>22</v>
      </c>
      <c r="L623" t="s">
        <v>23</v>
      </c>
      <c r="M623" t="str">
        <f t="shared" si="74"/>
        <v>1</v>
      </c>
      <c r="O623" t="str">
        <f t="shared" si="75"/>
        <v xml:space="preserve">1 </v>
      </c>
      <c r="P623">
        <v>16.8</v>
      </c>
      <c r="Q623" t="s">
        <v>24</v>
      </c>
    </row>
    <row r="624" spans="1:17" x14ac:dyDescent="0.25">
      <c r="A624" t="s">
        <v>17</v>
      </c>
      <c r="B624" s="1">
        <v>41718</v>
      </c>
      <c r="C624" t="s">
        <v>786</v>
      </c>
      <c r="D624" t="str">
        <f>CONCATENATE("0060012203","")</f>
        <v>0060012203</v>
      </c>
      <c r="E624" t="str">
        <f>CONCATENATE("0120528001160       ","")</f>
        <v xml:space="preserve">0120528001160       </v>
      </c>
      <c r="F624" t="str">
        <f>CONCATENATE("605116872","")</f>
        <v>605116872</v>
      </c>
      <c r="G624" t="s">
        <v>1113</v>
      </c>
      <c r="H624" t="s">
        <v>1122</v>
      </c>
      <c r="I624" t="s">
        <v>1123</v>
      </c>
      <c r="J624" t="str">
        <f t="shared" si="73"/>
        <v>081210</v>
      </c>
      <c r="K624" t="s">
        <v>22</v>
      </c>
      <c r="L624" t="s">
        <v>23</v>
      </c>
      <c r="M624" t="str">
        <f t="shared" si="74"/>
        <v>1</v>
      </c>
      <c r="O624" t="str">
        <f t="shared" si="75"/>
        <v xml:space="preserve">1 </v>
      </c>
      <c r="P624">
        <v>21.9</v>
      </c>
      <c r="Q624" t="s">
        <v>24</v>
      </c>
    </row>
    <row r="625" spans="1:17" x14ac:dyDescent="0.25">
      <c r="A625" t="s">
        <v>17</v>
      </c>
      <c r="B625" s="1">
        <v>41718</v>
      </c>
      <c r="C625" t="s">
        <v>786</v>
      </c>
      <c r="D625" t="str">
        <f>CONCATENATE("0060005194","")</f>
        <v>0060005194</v>
      </c>
      <c r="E625" t="str">
        <f>CONCATENATE("0120528001170       ","")</f>
        <v xml:space="preserve">0120528001170       </v>
      </c>
      <c r="F625" t="str">
        <f>CONCATENATE("605752612","")</f>
        <v>605752612</v>
      </c>
      <c r="G625" t="s">
        <v>1113</v>
      </c>
      <c r="H625" t="s">
        <v>1124</v>
      </c>
      <c r="I625" t="s">
        <v>1115</v>
      </c>
      <c r="J625" t="str">
        <f t="shared" si="73"/>
        <v>081210</v>
      </c>
      <c r="K625" t="s">
        <v>22</v>
      </c>
      <c r="L625" t="s">
        <v>23</v>
      </c>
      <c r="M625" t="str">
        <f t="shared" si="74"/>
        <v>1</v>
      </c>
      <c r="O625" t="str">
        <f>CONCATENATE("5 ","")</f>
        <v xml:space="preserve">5 </v>
      </c>
      <c r="P625">
        <v>744.8</v>
      </c>
      <c r="Q625" t="s">
        <v>24</v>
      </c>
    </row>
    <row r="626" spans="1:17" x14ac:dyDescent="0.25">
      <c r="A626" t="s">
        <v>17</v>
      </c>
      <c r="B626" s="1">
        <v>41718</v>
      </c>
      <c r="C626" t="s">
        <v>786</v>
      </c>
      <c r="D626" t="str">
        <f>CONCATENATE("0060005200","")</f>
        <v>0060005200</v>
      </c>
      <c r="E626" t="str">
        <f>CONCATENATE("0120529000025       ","")</f>
        <v xml:space="preserve">0120529000025       </v>
      </c>
      <c r="F626" t="str">
        <f>CONCATENATE("605752615","")</f>
        <v>605752615</v>
      </c>
      <c r="G626" t="s">
        <v>1125</v>
      </c>
      <c r="H626" t="s">
        <v>1126</v>
      </c>
      <c r="I626" t="s">
        <v>1031</v>
      </c>
      <c r="J626" t="str">
        <f t="shared" si="73"/>
        <v>081210</v>
      </c>
      <c r="K626" t="s">
        <v>22</v>
      </c>
      <c r="L626" t="s">
        <v>23</v>
      </c>
      <c r="M626" t="str">
        <f t="shared" si="74"/>
        <v>1</v>
      </c>
      <c r="O626" t="str">
        <f t="shared" ref="O626:O647" si="76">CONCATENATE("1 ","")</f>
        <v xml:space="preserve">1 </v>
      </c>
      <c r="P626">
        <v>251.75</v>
      </c>
      <c r="Q626" t="s">
        <v>24</v>
      </c>
    </row>
    <row r="627" spans="1:17" x14ac:dyDescent="0.25">
      <c r="A627" t="s">
        <v>17</v>
      </c>
      <c r="B627" s="1">
        <v>41718</v>
      </c>
      <c r="C627" t="s">
        <v>786</v>
      </c>
      <c r="D627" t="str">
        <f>CONCATENATE("0060005217","")</f>
        <v>0060005217</v>
      </c>
      <c r="E627" t="str">
        <f>CONCATENATE("0120529000180       ","")</f>
        <v xml:space="preserve">0120529000180       </v>
      </c>
      <c r="F627" t="str">
        <f>CONCATENATE("7296239","")</f>
        <v>7296239</v>
      </c>
      <c r="G627" t="s">
        <v>1125</v>
      </c>
      <c r="H627" t="s">
        <v>1127</v>
      </c>
      <c r="I627" t="s">
        <v>1128</v>
      </c>
      <c r="J627" t="str">
        <f t="shared" si="73"/>
        <v>081210</v>
      </c>
      <c r="K627" t="s">
        <v>22</v>
      </c>
      <c r="L627" t="s">
        <v>23</v>
      </c>
      <c r="M627" t="str">
        <f t="shared" si="74"/>
        <v>1</v>
      </c>
      <c r="O627" t="str">
        <f t="shared" si="76"/>
        <v xml:space="preserve">1 </v>
      </c>
      <c r="P627">
        <v>17.350000000000001</v>
      </c>
      <c r="Q627" t="s">
        <v>24</v>
      </c>
    </row>
    <row r="628" spans="1:17" x14ac:dyDescent="0.25">
      <c r="A628" t="s">
        <v>17</v>
      </c>
      <c r="B628" s="1">
        <v>41718</v>
      </c>
      <c r="C628" t="s">
        <v>786</v>
      </c>
      <c r="D628" t="str">
        <f>CONCATENATE("0060005219","")</f>
        <v>0060005219</v>
      </c>
      <c r="E628" t="str">
        <f>CONCATENATE("0120529000200       ","")</f>
        <v xml:space="preserve">0120529000200       </v>
      </c>
      <c r="F628" t="str">
        <f>CONCATENATE("7298848","")</f>
        <v>7298848</v>
      </c>
      <c r="G628" t="s">
        <v>1125</v>
      </c>
      <c r="H628" t="s">
        <v>1129</v>
      </c>
      <c r="I628" t="s">
        <v>1128</v>
      </c>
      <c r="J628" t="str">
        <f t="shared" si="73"/>
        <v>081210</v>
      </c>
      <c r="K628" t="s">
        <v>22</v>
      </c>
      <c r="L628" t="s">
        <v>23</v>
      </c>
      <c r="M628" t="str">
        <f t="shared" si="74"/>
        <v>1</v>
      </c>
      <c r="O628" t="str">
        <f t="shared" si="76"/>
        <v xml:space="preserve">1 </v>
      </c>
      <c r="P628">
        <v>12.1</v>
      </c>
      <c r="Q628" t="s">
        <v>24</v>
      </c>
    </row>
    <row r="629" spans="1:17" x14ac:dyDescent="0.25">
      <c r="A629" t="s">
        <v>17</v>
      </c>
      <c r="B629" s="1">
        <v>41718</v>
      </c>
      <c r="C629" t="s">
        <v>786</v>
      </c>
      <c r="D629" t="str">
        <f>CONCATENATE("0060005258","")</f>
        <v>0060005258</v>
      </c>
      <c r="E629" t="str">
        <f>CONCATENATE("0120530000110       ","")</f>
        <v xml:space="preserve">0120530000110       </v>
      </c>
      <c r="F629" t="str">
        <f>CONCATENATE("7295684","")</f>
        <v>7295684</v>
      </c>
      <c r="G629" t="s">
        <v>1130</v>
      </c>
      <c r="H629" t="s">
        <v>1131</v>
      </c>
      <c r="I629" t="s">
        <v>1132</v>
      </c>
      <c r="J629" t="str">
        <f t="shared" si="73"/>
        <v>081210</v>
      </c>
      <c r="K629" t="s">
        <v>22</v>
      </c>
      <c r="L629" t="s">
        <v>23</v>
      </c>
      <c r="M629" t="str">
        <f t="shared" si="74"/>
        <v>1</v>
      </c>
      <c r="O629" t="str">
        <f t="shared" si="76"/>
        <v xml:space="preserve">1 </v>
      </c>
      <c r="P629">
        <v>45.35</v>
      </c>
      <c r="Q629" t="s">
        <v>24</v>
      </c>
    </row>
    <row r="630" spans="1:17" x14ac:dyDescent="0.25">
      <c r="A630" t="s">
        <v>17</v>
      </c>
      <c r="B630" s="1">
        <v>41718</v>
      </c>
      <c r="C630" t="s">
        <v>786</v>
      </c>
      <c r="D630" t="str">
        <f>CONCATENATE("0060005262","")</f>
        <v>0060005262</v>
      </c>
      <c r="E630" t="str">
        <f>CONCATENATE("0120530000150       ","")</f>
        <v xml:space="preserve">0120530000150       </v>
      </c>
      <c r="F630" t="str">
        <f>CONCATENATE("7298828","")</f>
        <v>7298828</v>
      </c>
      <c r="G630" t="s">
        <v>1130</v>
      </c>
      <c r="H630" t="s">
        <v>1133</v>
      </c>
      <c r="I630" t="s">
        <v>1132</v>
      </c>
      <c r="J630" t="str">
        <f t="shared" si="73"/>
        <v>081210</v>
      </c>
      <c r="K630" t="s">
        <v>22</v>
      </c>
      <c r="L630" t="s">
        <v>23</v>
      </c>
      <c r="M630" t="str">
        <f t="shared" si="74"/>
        <v>1</v>
      </c>
      <c r="O630" t="str">
        <f t="shared" si="76"/>
        <v xml:space="preserve">1 </v>
      </c>
      <c r="P630">
        <v>32.950000000000003</v>
      </c>
      <c r="Q630" t="s">
        <v>24</v>
      </c>
    </row>
    <row r="631" spans="1:17" x14ac:dyDescent="0.25">
      <c r="A631" t="s">
        <v>17</v>
      </c>
      <c r="B631" s="1">
        <v>41718</v>
      </c>
      <c r="C631" t="s">
        <v>786</v>
      </c>
      <c r="D631" t="str">
        <f>CONCATENATE("0060005273","")</f>
        <v>0060005273</v>
      </c>
      <c r="E631" t="str">
        <f>CONCATENATE("0120530000260       ","")</f>
        <v xml:space="preserve">0120530000260       </v>
      </c>
      <c r="F631" t="str">
        <f>CONCATENATE("07299002","")</f>
        <v>07299002</v>
      </c>
      <c r="G631" t="s">
        <v>1130</v>
      </c>
      <c r="H631" t="s">
        <v>1134</v>
      </c>
      <c r="I631" t="s">
        <v>1132</v>
      </c>
      <c r="J631" t="str">
        <f t="shared" si="73"/>
        <v>081210</v>
      </c>
      <c r="K631" t="s">
        <v>22</v>
      </c>
      <c r="L631" t="s">
        <v>23</v>
      </c>
      <c r="M631" t="str">
        <f t="shared" si="74"/>
        <v>1</v>
      </c>
      <c r="O631" t="str">
        <f t="shared" si="76"/>
        <v xml:space="preserve">1 </v>
      </c>
      <c r="P631">
        <v>21.65</v>
      </c>
      <c r="Q631" t="s">
        <v>24</v>
      </c>
    </row>
    <row r="632" spans="1:17" x14ac:dyDescent="0.25">
      <c r="A632" t="s">
        <v>17</v>
      </c>
      <c r="B632" s="1">
        <v>41718</v>
      </c>
      <c r="C632" t="s">
        <v>786</v>
      </c>
      <c r="D632" t="str">
        <f>CONCATENATE("0060005276","")</f>
        <v>0060005276</v>
      </c>
      <c r="E632" t="str">
        <f>CONCATENATE("0120530000290       ","")</f>
        <v xml:space="preserve">0120530000290       </v>
      </c>
      <c r="F632" t="str">
        <f>CONCATENATE("605348940","")</f>
        <v>605348940</v>
      </c>
      <c r="G632" t="s">
        <v>1130</v>
      </c>
      <c r="H632" t="s">
        <v>1135</v>
      </c>
      <c r="I632" t="s">
        <v>1132</v>
      </c>
      <c r="J632" t="str">
        <f t="shared" si="73"/>
        <v>081210</v>
      </c>
      <c r="K632" t="s">
        <v>22</v>
      </c>
      <c r="L632" t="s">
        <v>23</v>
      </c>
      <c r="M632" t="str">
        <f t="shared" si="74"/>
        <v>1</v>
      </c>
      <c r="O632" t="str">
        <f t="shared" si="76"/>
        <v xml:space="preserve">1 </v>
      </c>
      <c r="P632">
        <v>10.85</v>
      </c>
      <c r="Q632" t="s">
        <v>24</v>
      </c>
    </row>
    <row r="633" spans="1:17" x14ac:dyDescent="0.25">
      <c r="A633" t="s">
        <v>17</v>
      </c>
      <c r="B633" s="1">
        <v>41718</v>
      </c>
      <c r="C633" t="s">
        <v>786</v>
      </c>
      <c r="D633" t="str">
        <f>CONCATENATE("0060005277","")</f>
        <v>0060005277</v>
      </c>
      <c r="E633" t="str">
        <f>CONCATENATE("0120530000300       ","")</f>
        <v xml:space="preserve">0120530000300       </v>
      </c>
      <c r="F633" t="str">
        <f>CONCATENATE("07296655","")</f>
        <v>07296655</v>
      </c>
      <c r="G633" t="s">
        <v>1130</v>
      </c>
      <c r="H633" t="s">
        <v>1136</v>
      </c>
      <c r="I633" t="s">
        <v>1132</v>
      </c>
      <c r="J633" t="str">
        <f t="shared" si="73"/>
        <v>081210</v>
      </c>
      <c r="K633" t="s">
        <v>22</v>
      </c>
      <c r="L633" t="s">
        <v>23</v>
      </c>
      <c r="M633" t="str">
        <f t="shared" si="74"/>
        <v>1</v>
      </c>
      <c r="O633" t="str">
        <f t="shared" si="76"/>
        <v xml:space="preserve">1 </v>
      </c>
      <c r="P633">
        <v>34.25</v>
      </c>
      <c r="Q633" t="s">
        <v>24</v>
      </c>
    </row>
    <row r="634" spans="1:17" x14ac:dyDescent="0.25">
      <c r="A634" t="s">
        <v>17</v>
      </c>
      <c r="B634" s="1">
        <v>41718</v>
      </c>
      <c r="C634" t="s">
        <v>786</v>
      </c>
      <c r="D634" t="str">
        <f>CONCATENATE("0060012160","")</f>
        <v>0060012160</v>
      </c>
      <c r="E634" t="str">
        <f>CONCATENATE("0120530000315       ","")</f>
        <v xml:space="preserve">0120530000315       </v>
      </c>
      <c r="F634" t="str">
        <f>CONCATENATE("605115168","")</f>
        <v>605115168</v>
      </c>
      <c r="G634" t="s">
        <v>1130</v>
      </c>
      <c r="H634" t="s">
        <v>1137</v>
      </c>
      <c r="I634" t="s">
        <v>1138</v>
      </c>
      <c r="J634" t="str">
        <f t="shared" si="73"/>
        <v>081210</v>
      </c>
      <c r="K634" t="s">
        <v>22</v>
      </c>
      <c r="L634" t="s">
        <v>23</v>
      </c>
      <c r="M634" t="str">
        <f t="shared" si="74"/>
        <v>1</v>
      </c>
      <c r="O634" t="str">
        <f t="shared" si="76"/>
        <v xml:space="preserve">1 </v>
      </c>
      <c r="P634">
        <v>10.5</v>
      </c>
      <c r="Q634" t="s">
        <v>24</v>
      </c>
    </row>
    <row r="635" spans="1:17" x14ac:dyDescent="0.25">
      <c r="A635" t="s">
        <v>17</v>
      </c>
      <c r="B635" s="1">
        <v>41718</v>
      </c>
      <c r="C635" t="s">
        <v>786</v>
      </c>
      <c r="D635" t="str">
        <f>CONCATENATE("0060005282","")</f>
        <v>0060005282</v>
      </c>
      <c r="E635" t="str">
        <f>CONCATENATE("0120530000360       ","")</f>
        <v xml:space="preserve">0120530000360       </v>
      </c>
      <c r="F635" t="str">
        <f>CONCATENATE("07296653","")</f>
        <v>07296653</v>
      </c>
      <c r="G635" t="s">
        <v>1130</v>
      </c>
      <c r="H635" t="s">
        <v>1139</v>
      </c>
      <c r="I635" t="s">
        <v>1132</v>
      </c>
      <c r="J635" t="str">
        <f t="shared" si="73"/>
        <v>081210</v>
      </c>
      <c r="K635" t="s">
        <v>22</v>
      </c>
      <c r="L635" t="s">
        <v>23</v>
      </c>
      <c r="M635" t="str">
        <f t="shared" si="74"/>
        <v>1</v>
      </c>
      <c r="O635" t="str">
        <f t="shared" si="76"/>
        <v xml:space="preserve">1 </v>
      </c>
      <c r="P635">
        <v>13.9</v>
      </c>
      <c r="Q635" t="s">
        <v>24</v>
      </c>
    </row>
    <row r="636" spans="1:17" x14ac:dyDescent="0.25">
      <c r="A636" t="s">
        <v>17</v>
      </c>
      <c r="B636" s="1">
        <v>41718</v>
      </c>
      <c r="C636" t="s">
        <v>786</v>
      </c>
      <c r="D636" t="str">
        <f>CONCATENATE("0060009425","")</f>
        <v>0060009425</v>
      </c>
      <c r="E636" t="str">
        <f>CONCATENATE("0120530000450       ","")</f>
        <v xml:space="preserve">0120530000450       </v>
      </c>
      <c r="F636" t="str">
        <f>CONCATENATE("605772941","")</f>
        <v>605772941</v>
      </c>
      <c r="G636" t="s">
        <v>1130</v>
      </c>
      <c r="H636" t="s">
        <v>1140</v>
      </c>
      <c r="I636" t="s">
        <v>1141</v>
      </c>
      <c r="J636" t="str">
        <f t="shared" si="73"/>
        <v>081210</v>
      </c>
      <c r="K636" t="s">
        <v>22</v>
      </c>
      <c r="L636" t="s">
        <v>23</v>
      </c>
      <c r="M636" t="str">
        <f t="shared" si="74"/>
        <v>1</v>
      </c>
      <c r="O636" t="str">
        <f t="shared" si="76"/>
        <v xml:space="preserve">1 </v>
      </c>
      <c r="P636">
        <v>16.75</v>
      </c>
      <c r="Q636" t="s">
        <v>24</v>
      </c>
    </row>
    <row r="637" spans="1:17" x14ac:dyDescent="0.25">
      <c r="A637" t="s">
        <v>17</v>
      </c>
      <c r="B637" s="1">
        <v>41718</v>
      </c>
      <c r="C637" t="s">
        <v>786</v>
      </c>
      <c r="D637" t="str">
        <f>CONCATENATE("0060009402","")</f>
        <v>0060009402</v>
      </c>
      <c r="E637" t="str">
        <f>CONCATENATE("0120530000560       ","")</f>
        <v xml:space="preserve">0120530000560       </v>
      </c>
      <c r="F637" t="str">
        <f>CONCATENATE("605772936","")</f>
        <v>605772936</v>
      </c>
      <c r="G637" t="s">
        <v>1130</v>
      </c>
      <c r="H637" t="s">
        <v>1142</v>
      </c>
      <c r="I637" t="s">
        <v>1143</v>
      </c>
      <c r="J637" t="str">
        <f t="shared" si="73"/>
        <v>081210</v>
      </c>
      <c r="K637" t="s">
        <v>22</v>
      </c>
      <c r="L637" t="s">
        <v>23</v>
      </c>
      <c r="M637" t="str">
        <f t="shared" si="74"/>
        <v>1</v>
      </c>
      <c r="O637" t="str">
        <f t="shared" si="76"/>
        <v xml:space="preserve">1 </v>
      </c>
      <c r="P637">
        <v>69.55</v>
      </c>
      <c r="Q637" t="s">
        <v>24</v>
      </c>
    </row>
    <row r="638" spans="1:17" x14ac:dyDescent="0.25">
      <c r="A638" t="s">
        <v>17</v>
      </c>
      <c r="B638" s="1">
        <v>41718</v>
      </c>
      <c r="C638" t="s">
        <v>786</v>
      </c>
      <c r="D638" t="str">
        <f>CONCATENATE("0060009473","")</f>
        <v>0060009473</v>
      </c>
      <c r="E638" t="str">
        <f>CONCATENATE("0120530000630       ","")</f>
        <v xml:space="preserve">0120530000630       </v>
      </c>
      <c r="F638" t="str">
        <f>CONCATENATE("606088049","")</f>
        <v>606088049</v>
      </c>
      <c r="G638" t="s">
        <v>1130</v>
      </c>
      <c r="H638" t="s">
        <v>1144</v>
      </c>
      <c r="I638" t="s">
        <v>1141</v>
      </c>
      <c r="J638" t="str">
        <f t="shared" si="73"/>
        <v>081210</v>
      </c>
      <c r="K638" t="s">
        <v>22</v>
      </c>
      <c r="L638" t="s">
        <v>23</v>
      </c>
      <c r="M638" t="str">
        <f t="shared" si="74"/>
        <v>1</v>
      </c>
      <c r="O638" t="str">
        <f t="shared" si="76"/>
        <v xml:space="preserve">1 </v>
      </c>
      <c r="P638">
        <v>31.6</v>
      </c>
      <c r="Q638" t="s">
        <v>24</v>
      </c>
    </row>
    <row r="639" spans="1:17" x14ac:dyDescent="0.25">
      <c r="A639" t="s">
        <v>17</v>
      </c>
      <c r="B639" s="1">
        <v>41718</v>
      </c>
      <c r="C639" t="s">
        <v>786</v>
      </c>
      <c r="D639" t="str">
        <f>CONCATENATE("0060009416","")</f>
        <v>0060009416</v>
      </c>
      <c r="E639" t="str">
        <f>CONCATENATE("0120530000660       ","")</f>
        <v xml:space="preserve">0120530000660       </v>
      </c>
      <c r="F639" t="str">
        <f>CONCATENATE("605772932","")</f>
        <v>605772932</v>
      </c>
      <c r="G639" t="s">
        <v>1130</v>
      </c>
      <c r="H639" t="s">
        <v>1145</v>
      </c>
      <c r="I639" t="s">
        <v>1141</v>
      </c>
      <c r="J639" t="str">
        <f t="shared" si="73"/>
        <v>081210</v>
      </c>
      <c r="K639" t="s">
        <v>22</v>
      </c>
      <c r="L639" t="s">
        <v>23</v>
      </c>
      <c r="M639" t="str">
        <f t="shared" si="74"/>
        <v>1</v>
      </c>
      <c r="O639" t="str">
        <f t="shared" si="76"/>
        <v xml:space="preserve">1 </v>
      </c>
      <c r="P639">
        <v>32.6</v>
      </c>
      <c r="Q639" t="s">
        <v>24</v>
      </c>
    </row>
    <row r="640" spans="1:17" x14ac:dyDescent="0.25">
      <c r="A640" t="s">
        <v>17</v>
      </c>
      <c r="B640" s="1">
        <v>41718</v>
      </c>
      <c r="C640" t="s">
        <v>786</v>
      </c>
      <c r="D640" t="str">
        <f>CONCATENATE("0060009441","")</f>
        <v>0060009441</v>
      </c>
      <c r="E640" t="str">
        <f>CONCATENATE("0120530000800       ","")</f>
        <v xml:space="preserve">0120530000800       </v>
      </c>
      <c r="F640" t="str">
        <f>CONCATENATE("605772927","")</f>
        <v>605772927</v>
      </c>
      <c r="G640" t="s">
        <v>1130</v>
      </c>
      <c r="H640" t="s">
        <v>1146</v>
      </c>
      <c r="I640" t="s">
        <v>1147</v>
      </c>
      <c r="J640" t="str">
        <f t="shared" si="73"/>
        <v>081210</v>
      </c>
      <c r="K640" t="s">
        <v>22</v>
      </c>
      <c r="L640" t="s">
        <v>23</v>
      </c>
      <c r="M640" t="str">
        <f t="shared" si="74"/>
        <v>1</v>
      </c>
      <c r="O640" t="str">
        <f t="shared" si="76"/>
        <v xml:space="preserve">1 </v>
      </c>
      <c r="P640">
        <v>16</v>
      </c>
      <c r="Q640" t="s">
        <v>24</v>
      </c>
    </row>
    <row r="641" spans="1:17" x14ac:dyDescent="0.25">
      <c r="A641" t="s">
        <v>17</v>
      </c>
      <c r="B641" s="1">
        <v>41718</v>
      </c>
      <c r="C641" t="s">
        <v>786</v>
      </c>
      <c r="D641" t="str">
        <f>CONCATENATE("0060009547","")</f>
        <v>0060009547</v>
      </c>
      <c r="E641" t="str">
        <f>CONCATENATE("0120530000930       ","")</f>
        <v xml:space="preserve">0120530000930       </v>
      </c>
      <c r="F641" t="str">
        <f>CONCATENATE("605772921","")</f>
        <v>605772921</v>
      </c>
      <c r="G641" t="s">
        <v>1130</v>
      </c>
      <c r="H641" t="s">
        <v>1148</v>
      </c>
      <c r="I641" t="s">
        <v>1147</v>
      </c>
      <c r="J641" t="str">
        <f t="shared" si="73"/>
        <v>081210</v>
      </c>
      <c r="K641" t="s">
        <v>22</v>
      </c>
      <c r="L641" t="s">
        <v>23</v>
      </c>
      <c r="M641" t="str">
        <f t="shared" si="74"/>
        <v>1</v>
      </c>
      <c r="O641" t="str">
        <f t="shared" si="76"/>
        <v xml:space="preserve">1 </v>
      </c>
      <c r="P641">
        <v>16.350000000000001</v>
      </c>
      <c r="Q641" t="s">
        <v>24</v>
      </c>
    </row>
    <row r="642" spans="1:17" x14ac:dyDescent="0.25">
      <c r="A642" t="s">
        <v>17</v>
      </c>
      <c r="B642" s="1">
        <v>41718</v>
      </c>
      <c r="C642" t="s">
        <v>786</v>
      </c>
      <c r="D642" t="str">
        <f>CONCATENATE("0060016085","")</f>
        <v>0060016085</v>
      </c>
      <c r="E642" t="str">
        <f>CONCATENATE("0120531000165       ","")</f>
        <v xml:space="preserve">0120531000165       </v>
      </c>
      <c r="F642" t="str">
        <f>CONCATENATE("1678591","")</f>
        <v>1678591</v>
      </c>
      <c r="G642" t="s">
        <v>1149</v>
      </c>
      <c r="H642" t="s">
        <v>1150</v>
      </c>
      <c r="I642" t="s">
        <v>1151</v>
      </c>
      <c r="J642" t="str">
        <f t="shared" si="73"/>
        <v>081210</v>
      </c>
      <c r="K642" t="s">
        <v>22</v>
      </c>
      <c r="L642" t="s">
        <v>23</v>
      </c>
      <c r="M642" t="str">
        <f t="shared" si="74"/>
        <v>1</v>
      </c>
      <c r="O642" t="str">
        <f t="shared" si="76"/>
        <v xml:space="preserve">1 </v>
      </c>
      <c r="P642">
        <v>22.35</v>
      </c>
      <c r="Q642" t="s">
        <v>24</v>
      </c>
    </row>
    <row r="643" spans="1:17" x14ac:dyDescent="0.25">
      <c r="A643" t="s">
        <v>17</v>
      </c>
      <c r="B643" s="1">
        <v>41718</v>
      </c>
      <c r="C643" t="s">
        <v>786</v>
      </c>
      <c r="D643" t="str">
        <f>CONCATENATE("0060005313","")</f>
        <v>0060005313</v>
      </c>
      <c r="E643" t="str">
        <f>CONCATENATE("0120531000220       ","")</f>
        <v xml:space="preserve">0120531000220       </v>
      </c>
      <c r="F643" t="str">
        <f>CONCATENATE("605391366","")</f>
        <v>605391366</v>
      </c>
      <c r="G643" t="s">
        <v>1149</v>
      </c>
      <c r="H643" t="s">
        <v>1152</v>
      </c>
      <c r="I643" t="s">
        <v>1153</v>
      </c>
      <c r="J643" t="str">
        <f t="shared" ref="J643:J667" si="77">CONCATENATE("081210","")</f>
        <v>081210</v>
      </c>
      <c r="K643" t="s">
        <v>22</v>
      </c>
      <c r="L643" t="s">
        <v>23</v>
      </c>
      <c r="M643" t="str">
        <f t="shared" si="74"/>
        <v>1</v>
      </c>
      <c r="O643" t="str">
        <f t="shared" si="76"/>
        <v xml:space="preserve">1 </v>
      </c>
      <c r="P643">
        <v>30.75</v>
      </c>
      <c r="Q643" t="s">
        <v>24</v>
      </c>
    </row>
    <row r="644" spans="1:17" x14ac:dyDescent="0.25">
      <c r="A644" t="s">
        <v>17</v>
      </c>
      <c r="B644" s="1">
        <v>41718</v>
      </c>
      <c r="C644" t="s">
        <v>786</v>
      </c>
      <c r="D644" t="str">
        <f>CONCATENATE("0060005324","")</f>
        <v>0060005324</v>
      </c>
      <c r="E644" t="str">
        <f>CONCATENATE("0120531000320       ","")</f>
        <v xml:space="preserve">0120531000320       </v>
      </c>
      <c r="F644" t="str">
        <f>CONCATENATE("605391351","")</f>
        <v>605391351</v>
      </c>
      <c r="G644" t="s">
        <v>1149</v>
      </c>
      <c r="H644" t="s">
        <v>1154</v>
      </c>
      <c r="I644" t="s">
        <v>1155</v>
      </c>
      <c r="J644" t="str">
        <f t="shared" si="77"/>
        <v>081210</v>
      </c>
      <c r="K644" t="s">
        <v>22</v>
      </c>
      <c r="L644" t="s">
        <v>23</v>
      </c>
      <c r="M644" t="str">
        <f t="shared" si="74"/>
        <v>1</v>
      </c>
      <c r="O644" t="str">
        <f t="shared" si="76"/>
        <v xml:space="preserve">1 </v>
      </c>
      <c r="P644">
        <v>10.5</v>
      </c>
      <c r="Q644" t="s">
        <v>24</v>
      </c>
    </row>
    <row r="645" spans="1:17" x14ac:dyDescent="0.25">
      <c r="A645" t="s">
        <v>17</v>
      </c>
      <c r="B645" s="1">
        <v>41718</v>
      </c>
      <c r="C645" t="s">
        <v>786</v>
      </c>
      <c r="D645" t="str">
        <f>CONCATENATE("0060012434","")</f>
        <v>0060012434</v>
      </c>
      <c r="E645" t="str">
        <f>CONCATENATE("0120531000325       ","")</f>
        <v xml:space="preserve">0120531000325       </v>
      </c>
      <c r="F645" t="str">
        <f>CONCATENATE("605293299","")</f>
        <v>605293299</v>
      </c>
      <c r="G645" t="s">
        <v>1149</v>
      </c>
      <c r="H645" t="s">
        <v>1156</v>
      </c>
      <c r="I645" t="s">
        <v>1157</v>
      </c>
      <c r="J645" t="str">
        <f t="shared" si="77"/>
        <v>081210</v>
      </c>
      <c r="K645" t="s">
        <v>22</v>
      </c>
      <c r="L645" t="s">
        <v>23</v>
      </c>
      <c r="M645" t="str">
        <f t="shared" si="74"/>
        <v>1</v>
      </c>
      <c r="O645" t="str">
        <f t="shared" si="76"/>
        <v xml:space="preserve">1 </v>
      </c>
      <c r="P645">
        <v>52.15</v>
      </c>
      <c r="Q645" t="s">
        <v>24</v>
      </c>
    </row>
    <row r="646" spans="1:17" x14ac:dyDescent="0.25">
      <c r="A646" t="s">
        <v>17</v>
      </c>
      <c r="B646" s="1">
        <v>41718</v>
      </c>
      <c r="C646" t="s">
        <v>786</v>
      </c>
      <c r="D646" t="str">
        <f>CONCATENATE("0060011255","")</f>
        <v>0060011255</v>
      </c>
      <c r="E646" t="str">
        <f>CONCATENATE("0120532000320       ","")</f>
        <v xml:space="preserve">0120532000320       </v>
      </c>
      <c r="F646" t="str">
        <f>CONCATENATE("01219313","")</f>
        <v>01219313</v>
      </c>
      <c r="G646" t="s">
        <v>1158</v>
      </c>
      <c r="H646" t="s">
        <v>1159</v>
      </c>
      <c r="I646" t="s">
        <v>1160</v>
      </c>
      <c r="J646" t="str">
        <f t="shared" si="77"/>
        <v>081210</v>
      </c>
      <c r="K646" t="s">
        <v>22</v>
      </c>
      <c r="L646" t="s">
        <v>23</v>
      </c>
      <c r="M646" t="str">
        <f t="shared" si="74"/>
        <v>1</v>
      </c>
      <c r="O646" t="str">
        <f t="shared" si="76"/>
        <v xml:space="preserve">1 </v>
      </c>
      <c r="P646">
        <v>17.55</v>
      </c>
      <c r="Q646" t="s">
        <v>24</v>
      </c>
    </row>
    <row r="647" spans="1:17" x14ac:dyDescent="0.25">
      <c r="A647" t="s">
        <v>17</v>
      </c>
      <c r="B647" s="1">
        <v>41718</v>
      </c>
      <c r="C647" t="s">
        <v>786</v>
      </c>
      <c r="D647" t="str">
        <f>CONCATENATE("0060010978","")</f>
        <v>0060010978</v>
      </c>
      <c r="E647" t="str">
        <f>CONCATENATE("0120532000570       ","")</f>
        <v xml:space="preserve">0120532000570       </v>
      </c>
      <c r="F647" t="str">
        <f>CONCATENATE("5574","")</f>
        <v>5574</v>
      </c>
      <c r="G647" t="s">
        <v>1158</v>
      </c>
      <c r="H647" t="s">
        <v>1161</v>
      </c>
      <c r="I647" t="s">
        <v>1162</v>
      </c>
      <c r="J647" t="str">
        <f t="shared" si="77"/>
        <v>081210</v>
      </c>
      <c r="K647" t="s">
        <v>22</v>
      </c>
      <c r="L647" t="s">
        <v>23</v>
      </c>
      <c r="M647" t="str">
        <f t="shared" si="74"/>
        <v>1</v>
      </c>
      <c r="O647" t="str">
        <f t="shared" si="76"/>
        <v xml:space="preserve">1 </v>
      </c>
      <c r="P647">
        <v>21.55</v>
      </c>
      <c r="Q647" t="s">
        <v>24</v>
      </c>
    </row>
    <row r="648" spans="1:17" x14ac:dyDescent="0.25">
      <c r="A648" t="s">
        <v>17</v>
      </c>
      <c r="B648" s="1">
        <v>41718</v>
      </c>
      <c r="C648" t="s">
        <v>786</v>
      </c>
      <c r="D648" t="str">
        <f>CONCATENATE("0060013689","")</f>
        <v>0060013689</v>
      </c>
      <c r="E648" t="str">
        <f>CONCATENATE("0120532000658       ","")</f>
        <v xml:space="preserve">0120532000658       </v>
      </c>
      <c r="F648" t="str">
        <f>CONCATENATE("605621776","")</f>
        <v>605621776</v>
      </c>
      <c r="G648" t="s">
        <v>1158</v>
      </c>
      <c r="H648" t="s">
        <v>1163</v>
      </c>
      <c r="I648" t="s">
        <v>1164</v>
      </c>
      <c r="J648" t="str">
        <f t="shared" si="77"/>
        <v>081210</v>
      </c>
      <c r="K648" t="s">
        <v>22</v>
      </c>
      <c r="L648" t="s">
        <v>23</v>
      </c>
      <c r="M648" t="str">
        <f t="shared" si="74"/>
        <v>1</v>
      </c>
      <c r="O648" t="str">
        <f>CONCATENATE("2 ","")</f>
        <v xml:space="preserve">2 </v>
      </c>
      <c r="P648">
        <v>34.950000000000003</v>
      </c>
      <c r="Q648" t="s">
        <v>24</v>
      </c>
    </row>
    <row r="649" spans="1:17" x14ac:dyDescent="0.25">
      <c r="A649" t="s">
        <v>17</v>
      </c>
      <c r="B649" s="1">
        <v>41718</v>
      </c>
      <c r="C649" t="s">
        <v>786</v>
      </c>
      <c r="D649" t="str">
        <f>CONCATENATE("0060013693","")</f>
        <v>0060013693</v>
      </c>
      <c r="E649" t="str">
        <f>CONCATENATE("0120532000740       ","")</f>
        <v xml:space="preserve">0120532000740       </v>
      </c>
      <c r="F649" t="str">
        <f>CONCATENATE("605621793","")</f>
        <v>605621793</v>
      </c>
      <c r="G649" t="s">
        <v>1158</v>
      </c>
      <c r="H649" t="s">
        <v>1165</v>
      </c>
      <c r="I649" t="s">
        <v>1166</v>
      </c>
      <c r="J649" t="str">
        <f t="shared" si="77"/>
        <v>081210</v>
      </c>
      <c r="K649" t="s">
        <v>22</v>
      </c>
      <c r="L649" t="s">
        <v>23</v>
      </c>
      <c r="M649" t="str">
        <f t="shared" si="74"/>
        <v>1</v>
      </c>
      <c r="O649" t="str">
        <f>CONCATENATE("1 ","")</f>
        <v xml:space="preserve">1 </v>
      </c>
      <c r="P649">
        <v>19.7</v>
      </c>
      <c r="Q649" t="s">
        <v>24</v>
      </c>
    </row>
    <row r="650" spans="1:17" x14ac:dyDescent="0.25">
      <c r="A650" t="s">
        <v>17</v>
      </c>
      <c r="B650" s="1">
        <v>41718</v>
      </c>
      <c r="C650" t="s">
        <v>786</v>
      </c>
      <c r="D650" t="str">
        <f>CONCATENATE("0060008978","")</f>
        <v>0060008978</v>
      </c>
      <c r="E650" t="str">
        <f>CONCATENATE("0120533000010       ","")</f>
        <v xml:space="preserve">0120533000010       </v>
      </c>
      <c r="F650" t="str">
        <f>CONCATENATE("605880450","")</f>
        <v>605880450</v>
      </c>
      <c r="G650" t="s">
        <v>1167</v>
      </c>
      <c r="H650" t="s">
        <v>1168</v>
      </c>
      <c r="I650" t="s">
        <v>1169</v>
      </c>
      <c r="J650" t="str">
        <f t="shared" si="77"/>
        <v>081210</v>
      </c>
      <c r="K650" t="s">
        <v>22</v>
      </c>
      <c r="L650" t="s">
        <v>23</v>
      </c>
      <c r="M650" t="str">
        <f t="shared" si="74"/>
        <v>1</v>
      </c>
      <c r="O650" t="str">
        <f>CONCATENATE("1 ","")</f>
        <v xml:space="preserve">1 </v>
      </c>
      <c r="P650">
        <v>26.2</v>
      </c>
      <c r="Q650" t="s">
        <v>24</v>
      </c>
    </row>
    <row r="651" spans="1:17" x14ac:dyDescent="0.25">
      <c r="A651" t="s">
        <v>17</v>
      </c>
      <c r="B651" s="1">
        <v>41718</v>
      </c>
      <c r="C651" t="s">
        <v>786</v>
      </c>
      <c r="D651" t="str">
        <f>CONCATENATE("0060013551","")</f>
        <v>0060013551</v>
      </c>
      <c r="E651" t="str">
        <f>CONCATENATE("0120533000101       ","")</f>
        <v xml:space="preserve">0120533000101       </v>
      </c>
      <c r="F651" t="str">
        <f>CONCATENATE("764085","")</f>
        <v>764085</v>
      </c>
      <c r="G651" t="s">
        <v>1167</v>
      </c>
      <c r="H651" t="s">
        <v>1170</v>
      </c>
      <c r="I651" t="s">
        <v>1171</v>
      </c>
      <c r="J651" t="str">
        <f t="shared" si="77"/>
        <v>081210</v>
      </c>
      <c r="K651" t="s">
        <v>22</v>
      </c>
      <c r="L651" t="s">
        <v>23</v>
      </c>
      <c r="M651" t="str">
        <f t="shared" si="74"/>
        <v>1</v>
      </c>
      <c r="O651" t="str">
        <f>CONCATENATE("2 ","")</f>
        <v xml:space="preserve">2 </v>
      </c>
      <c r="P651">
        <v>17.100000000000001</v>
      </c>
      <c r="Q651" t="s">
        <v>24</v>
      </c>
    </row>
    <row r="652" spans="1:17" x14ac:dyDescent="0.25">
      <c r="A652" t="s">
        <v>17</v>
      </c>
      <c r="B652" s="1">
        <v>41718</v>
      </c>
      <c r="C652" t="s">
        <v>786</v>
      </c>
      <c r="D652" t="str">
        <f>CONCATENATE("0060013552","")</f>
        <v>0060013552</v>
      </c>
      <c r="E652" t="str">
        <f>CONCATENATE("0120533000102       ","")</f>
        <v xml:space="preserve">0120533000102       </v>
      </c>
      <c r="F652" t="str">
        <f>CONCATENATE("789716","")</f>
        <v>789716</v>
      </c>
      <c r="G652" t="s">
        <v>1172</v>
      </c>
      <c r="H652" t="s">
        <v>1173</v>
      </c>
      <c r="I652" t="s">
        <v>1173</v>
      </c>
      <c r="J652" t="str">
        <f t="shared" si="77"/>
        <v>081210</v>
      </c>
      <c r="K652" t="s">
        <v>22</v>
      </c>
      <c r="L652" t="s">
        <v>23</v>
      </c>
      <c r="M652" t="str">
        <f t="shared" si="74"/>
        <v>1</v>
      </c>
      <c r="O652" t="str">
        <f>CONCATENATE("2 ","")</f>
        <v xml:space="preserve">2 </v>
      </c>
      <c r="P652">
        <v>18.25</v>
      </c>
      <c r="Q652" t="s">
        <v>24</v>
      </c>
    </row>
    <row r="653" spans="1:17" x14ac:dyDescent="0.25">
      <c r="A653" t="s">
        <v>17</v>
      </c>
      <c r="B653" s="1">
        <v>41718</v>
      </c>
      <c r="C653" t="s">
        <v>786</v>
      </c>
      <c r="D653" t="str">
        <f>CONCATENATE("0060008985","")</f>
        <v>0060008985</v>
      </c>
      <c r="E653" t="str">
        <f>CONCATENATE("0120533000160       ","")</f>
        <v xml:space="preserve">0120533000160       </v>
      </c>
      <c r="F653" t="str">
        <f>CONCATENATE("605117661","")</f>
        <v>605117661</v>
      </c>
      <c r="G653" t="s">
        <v>1167</v>
      </c>
      <c r="H653" t="s">
        <v>1174</v>
      </c>
      <c r="I653" t="s">
        <v>1169</v>
      </c>
      <c r="J653" t="str">
        <f t="shared" si="77"/>
        <v>081210</v>
      </c>
      <c r="K653" t="s">
        <v>22</v>
      </c>
      <c r="L653" t="s">
        <v>23</v>
      </c>
      <c r="M653" t="str">
        <f t="shared" si="74"/>
        <v>1</v>
      </c>
      <c r="O653" t="str">
        <f t="shared" ref="O653:O659" si="78">CONCATENATE("1 ","")</f>
        <v xml:space="preserve">1 </v>
      </c>
      <c r="P653">
        <v>17.649999999999999</v>
      </c>
      <c r="Q653" t="s">
        <v>24</v>
      </c>
    </row>
    <row r="654" spans="1:17" x14ac:dyDescent="0.25">
      <c r="A654" t="s">
        <v>17</v>
      </c>
      <c r="B654" s="1">
        <v>41718</v>
      </c>
      <c r="C654" t="s">
        <v>786</v>
      </c>
      <c r="D654" t="str">
        <f>CONCATENATE("0060018246","")</f>
        <v>0060018246</v>
      </c>
      <c r="E654" t="str">
        <f>CONCATENATE("0120533000165       ","")</f>
        <v xml:space="preserve">0120533000165       </v>
      </c>
      <c r="F654" t="str">
        <f>CONCATENATE("2180742","")</f>
        <v>2180742</v>
      </c>
      <c r="G654" t="s">
        <v>1167</v>
      </c>
      <c r="H654" t="s">
        <v>1175</v>
      </c>
      <c r="I654" t="s">
        <v>1176</v>
      </c>
      <c r="J654" t="str">
        <f t="shared" si="77"/>
        <v>081210</v>
      </c>
      <c r="K654" t="s">
        <v>22</v>
      </c>
      <c r="L654" t="s">
        <v>23</v>
      </c>
      <c r="M654" t="str">
        <f t="shared" si="74"/>
        <v>1</v>
      </c>
      <c r="O654" t="str">
        <f t="shared" si="78"/>
        <v xml:space="preserve">1 </v>
      </c>
      <c r="P654">
        <v>145.75</v>
      </c>
      <c r="Q654" t="s">
        <v>24</v>
      </c>
    </row>
    <row r="655" spans="1:17" x14ac:dyDescent="0.25">
      <c r="A655" t="s">
        <v>17</v>
      </c>
      <c r="B655" s="1">
        <v>41718</v>
      </c>
      <c r="C655" t="s">
        <v>786</v>
      </c>
      <c r="D655" t="str">
        <f>CONCATENATE("0060009014","")</f>
        <v>0060009014</v>
      </c>
      <c r="E655" t="str">
        <f>CONCATENATE("0120533000360       ","")</f>
        <v xml:space="preserve">0120533000360       </v>
      </c>
      <c r="F655" t="str">
        <f>CONCATENATE("605742875","")</f>
        <v>605742875</v>
      </c>
      <c r="G655" t="s">
        <v>1167</v>
      </c>
      <c r="H655" t="s">
        <v>1177</v>
      </c>
      <c r="I655" t="s">
        <v>1169</v>
      </c>
      <c r="J655" t="str">
        <f t="shared" si="77"/>
        <v>081210</v>
      </c>
      <c r="K655" t="s">
        <v>22</v>
      </c>
      <c r="L655" t="s">
        <v>23</v>
      </c>
      <c r="M655" t="str">
        <f t="shared" si="74"/>
        <v>1</v>
      </c>
      <c r="O655" t="str">
        <f t="shared" si="78"/>
        <v xml:space="preserve">1 </v>
      </c>
      <c r="P655">
        <v>26.1</v>
      </c>
      <c r="Q655" t="s">
        <v>24</v>
      </c>
    </row>
    <row r="656" spans="1:17" x14ac:dyDescent="0.25">
      <c r="A656" t="s">
        <v>17</v>
      </c>
      <c r="B656" s="1">
        <v>41718</v>
      </c>
      <c r="C656" t="s">
        <v>786</v>
      </c>
      <c r="D656" t="str">
        <f>CONCATENATE("0060015886","")</f>
        <v>0060015886</v>
      </c>
      <c r="E656" t="str">
        <f>CONCATENATE("0120533000380       ","")</f>
        <v xml:space="preserve">0120533000380       </v>
      </c>
      <c r="F656" t="str">
        <f>CONCATENATE("1670681","")</f>
        <v>1670681</v>
      </c>
      <c r="G656" t="s">
        <v>1167</v>
      </c>
      <c r="H656" t="s">
        <v>1178</v>
      </c>
      <c r="I656" t="s">
        <v>1179</v>
      </c>
      <c r="J656" t="str">
        <f t="shared" si="77"/>
        <v>081210</v>
      </c>
      <c r="K656" t="s">
        <v>22</v>
      </c>
      <c r="L656" t="s">
        <v>23</v>
      </c>
      <c r="M656" t="str">
        <f t="shared" si="74"/>
        <v>1</v>
      </c>
      <c r="O656" t="str">
        <f t="shared" si="78"/>
        <v xml:space="preserve">1 </v>
      </c>
      <c r="P656">
        <v>105.15</v>
      </c>
      <c r="Q656" t="s">
        <v>24</v>
      </c>
    </row>
    <row r="657" spans="1:17" x14ac:dyDescent="0.25">
      <c r="A657" t="s">
        <v>17</v>
      </c>
      <c r="B657" s="1">
        <v>41718</v>
      </c>
      <c r="C657" t="s">
        <v>786</v>
      </c>
      <c r="D657" t="str">
        <f>CONCATENATE("0060009057","")</f>
        <v>0060009057</v>
      </c>
      <c r="E657" t="str">
        <f>CONCATENATE("0120534000100       ","")</f>
        <v xml:space="preserve">0120534000100       </v>
      </c>
      <c r="F657" t="str">
        <f>CONCATENATE("605742870","")</f>
        <v>605742870</v>
      </c>
      <c r="G657" t="s">
        <v>1180</v>
      </c>
      <c r="H657" t="s">
        <v>1181</v>
      </c>
      <c r="I657" t="s">
        <v>1182</v>
      </c>
      <c r="J657" t="str">
        <f t="shared" si="77"/>
        <v>081210</v>
      </c>
      <c r="K657" t="s">
        <v>22</v>
      </c>
      <c r="L657" t="s">
        <v>23</v>
      </c>
      <c r="M657" t="str">
        <f t="shared" si="74"/>
        <v>1</v>
      </c>
      <c r="O657" t="str">
        <f t="shared" si="78"/>
        <v xml:space="preserve">1 </v>
      </c>
      <c r="P657">
        <v>11.4</v>
      </c>
      <c r="Q657" t="s">
        <v>24</v>
      </c>
    </row>
    <row r="658" spans="1:17" x14ac:dyDescent="0.25">
      <c r="A658" t="s">
        <v>17</v>
      </c>
      <c r="B658" s="1">
        <v>41718</v>
      </c>
      <c r="C658" t="s">
        <v>786</v>
      </c>
      <c r="D658" t="str">
        <f>CONCATENATE("0060009040","")</f>
        <v>0060009040</v>
      </c>
      <c r="E658" t="str">
        <f>CONCATENATE("0120534000210       ","")</f>
        <v xml:space="preserve">0120534000210       </v>
      </c>
      <c r="F658" t="str">
        <f>CONCATENATE("605771436","")</f>
        <v>605771436</v>
      </c>
      <c r="G658" t="s">
        <v>1180</v>
      </c>
      <c r="H658" t="s">
        <v>1183</v>
      </c>
      <c r="I658" t="s">
        <v>1184</v>
      </c>
      <c r="J658" t="str">
        <f t="shared" si="77"/>
        <v>081210</v>
      </c>
      <c r="K658" t="s">
        <v>22</v>
      </c>
      <c r="L658" t="s">
        <v>23</v>
      </c>
      <c r="M658" t="str">
        <f t="shared" si="74"/>
        <v>1</v>
      </c>
      <c r="O658" t="str">
        <f t="shared" si="78"/>
        <v xml:space="preserve">1 </v>
      </c>
      <c r="P658">
        <v>25</v>
      </c>
      <c r="Q658" t="s">
        <v>24</v>
      </c>
    </row>
    <row r="659" spans="1:17" x14ac:dyDescent="0.25">
      <c r="A659" t="s">
        <v>17</v>
      </c>
      <c r="B659" s="1">
        <v>41718</v>
      </c>
      <c r="C659" t="s">
        <v>786</v>
      </c>
      <c r="D659" t="str">
        <f>CONCATENATE("0060009043","")</f>
        <v>0060009043</v>
      </c>
      <c r="E659" t="str">
        <f>CONCATENATE("0120534000230       ","")</f>
        <v xml:space="preserve">0120534000230       </v>
      </c>
      <c r="F659" t="str">
        <f>CONCATENATE("605771478","")</f>
        <v>605771478</v>
      </c>
      <c r="G659" t="s">
        <v>1180</v>
      </c>
      <c r="H659" t="s">
        <v>1185</v>
      </c>
      <c r="I659" t="s">
        <v>1184</v>
      </c>
      <c r="J659" t="str">
        <f t="shared" si="77"/>
        <v>081210</v>
      </c>
      <c r="K659" t="s">
        <v>22</v>
      </c>
      <c r="L659" t="s">
        <v>23</v>
      </c>
      <c r="M659" t="str">
        <f t="shared" si="74"/>
        <v>1</v>
      </c>
      <c r="O659" t="str">
        <f t="shared" si="78"/>
        <v xml:space="preserve">1 </v>
      </c>
      <c r="P659">
        <v>12.85</v>
      </c>
      <c r="Q659" t="s">
        <v>24</v>
      </c>
    </row>
    <row r="660" spans="1:17" x14ac:dyDescent="0.25">
      <c r="A660" t="s">
        <v>17</v>
      </c>
      <c r="B660" s="1">
        <v>41718</v>
      </c>
      <c r="C660" t="s">
        <v>786</v>
      </c>
      <c r="D660" t="str">
        <f>CONCATENATE("0060014750","")</f>
        <v>0060014750</v>
      </c>
      <c r="E660" t="str">
        <f>CONCATENATE("0120534000365       ","")</f>
        <v xml:space="preserve">0120534000365       </v>
      </c>
      <c r="F660" t="str">
        <f>CONCATENATE("605933442","")</f>
        <v>605933442</v>
      </c>
      <c r="G660" t="s">
        <v>1180</v>
      </c>
      <c r="H660" t="s">
        <v>1186</v>
      </c>
      <c r="I660" t="s">
        <v>1187</v>
      </c>
      <c r="J660" t="str">
        <f t="shared" si="77"/>
        <v>081210</v>
      </c>
      <c r="K660" t="s">
        <v>22</v>
      </c>
      <c r="L660" t="s">
        <v>23</v>
      </c>
      <c r="M660" t="str">
        <f t="shared" si="74"/>
        <v>1</v>
      </c>
      <c r="O660" t="str">
        <f>CONCATENATE("2 ","")</f>
        <v xml:space="preserve">2 </v>
      </c>
      <c r="P660">
        <v>30.35</v>
      </c>
      <c r="Q660" t="s">
        <v>24</v>
      </c>
    </row>
    <row r="661" spans="1:17" x14ac:dyDescent="0.25">
      <c r="A661" t="s">
        <v>17</v>
      </c>
      <c r="B661" s="1">
        <v>41718</v>
      </c>
      <c r="C661" t="s">
        <v>786</v>
      </c>
      <c r="D661" t="str">
        <f>CONCATENATE("0060009917","")</f>
        <v>0060009917</v>
      </c>
      <c r="E661" t="str">
        <f>CONCATENATE("0120534000385       ","")</f>
        <v xml:space="preserve">0120534000385       </v>
      </c>
      <c r="F661" t="str">
        <f>CONCATENATE("00000291357","")</f>
        <v>00000291357</v>
      </c>
      <c r="G661" t="s">
        <v>1180</v>
      </c>
      <c r="H661" t="s">
        <v>1188</v>
      </c>
      <c r="I661" t="s">
        <v>1189</v>
      </c>
      <c r="J661" t="str">
        <f t="shared" si="77"/>
        <v>081210</v>
      </c>
      <c r="K661" t="s">
        <v>22</v>
      </c>
      <c r="L661" t="s">
        <v>23</v>
      </c>
      <c r="M661" t="str">
        <f t="shared" si="74"/>
        <v>1</v>
      </c>
      <c r="O661" t="str">
        <f>CONCATENATE("1 ","")</f>
        <v xml:space="preserve">1 </v>
      </c>
      <c r="P661">
        <v>18.2</v>
      </c>
      <c r="Q661" t="s">
        <v>24</v>
      </c>
    </row>
    <row r="662" spans="1:17" x14ac:dyDescent="0.25">
      <c r="A662" t="s">
        <v>17</v>
      </c>
      <c r="B662" s="1">
        <v>41718</v>
      </c>
      <c r="C662" t="s">
        <v>786</v>
      </c>
      <c r="D662" t="str">
        <f>CONCATENATE("0060009072","")</f>
        <v>0060009072</v>
      </c>
      <c r="E662" t="str">
        <f>CONCATENATE("0120534000400       ","")</f>
        <v xml:space="preserve">0120534000400       </v>
      </c>
      <c r="F662" t="str">
        <f>CONCATENATE("605771473","")</f>
        <v>605771473</v>
      </c>
      <c r="G662" t="s">
        <v>1180</v>
      </c>
      <c r="H662" t="s">
        <v>1190</v>
      </c>
      <c r="I662" t="s">
        <v>1191</v>
      </c>
      <c r="J662" t="str">
        <f t="shared" si="77"/>
        <v>081210</v>
      </c>
      <c r="K662" t="s">
        <v>22</v>
      </c>
      <c r="L662" t="s">
        <v>23</v>
      </c>
      <c r="M662" t="str">
        <f t="shared" si="74"/>
        <v>1</v>
      </c>
      <c r="O662" t="str">
        <f>CONCATENATE("1 ","")</f>
        <v xml:space="preserve">1 </v>
      </c>
      <c r="P662">
        <v>13</v>
      </c>
      <c r="Q662" t="s">
        <v>24</v>
      </c>
    </row>
    <row r="663" spans="1:17" x14ac:dyDescent="0.25">
      <c r="A663" t="s">
        <v>17</v>
      </c>
      <c r="B663" s="1">
        <v>41718</v>
      </c>
      <c r="C663" t="s">
        <v>786</v>
      </c>
      <c r="D663" t="str">
        <f>CONCATENATE("0060009293","")</f>
        <v>0060009293</v>
      </c>
      <c r="E663" t="str">
        <f>CONCATENATE("0120535000080       ","")</f>
        <v xml:space="preserve">0120535000080       </v>
      </c>
      <c r="F663" t="str">
        <f>CONCATENATE("605773163","")</f>
        <v>605773163</v>
      </c>
      <c r="G663" t="s">
        <v>1192</v>
      </c>
      <c r="H663" t="s">
        <v>1193</v>
      </c>
      <c r="I663" t="s">
        <v>1194</v>
      </c>
      <c r="J663" t="str">
        <f t="shared" si="77"/>
        <v>081210</v>
      </c>
      <c r="K663" t="s">
        <v>22</v>
      </c>
      <c r="L663" t="s">
        <v>23</v>
      </c>
      <c r="M663" t="str">
        <f t="shared" si="74"/>
        <v>1</v>
      </c>
      <c r="O663" t="str">
        <f>CONCATENATE("3 ","")</f>
        <v xml:space="preserve">3 </v>
      </c>
      <c r="P663">
        <v>21.15</v>
      </c>
      <c r="Q663" t="s">
        <v>24</v>
      </c>
    </row>
    <row r="664" spans="1:17" x14ac:dyDescent="0.25">
      <c r="A664" t="s">
        <v>17</v>
      </c>
      <c r="B664" s="1">
        <v>41718</v>
      </c>
      <c r="C664" t="s">
        <v>786</v>
      </c>
      <c r="D664" t="str">
        <f>CONCATENATE("0060009297","")</f>
        <v>0060009297</v>
      </c>
      <c r="E664" t="str">
        <f>CONCATENATE("0120535000090       ","")</f>
        <v xml:space="preserve">0120535000090       </v>
      </c>
      <c r="F664" t="str">
        <f>CONCATENATE("605773171","")</f>
        <v>605773171</v>
      </c>
      <c r="G664" t="s">
        <v>1192</v>
      </c>
      <c r="H664" t="s">
        <v>1195</v>
      </c>
      <c r="I664" t="s">
        <v>1194</v>
      </c>
      <c r="J664" t="str">
        <f t="shared" si="77"/>
        <v>081210</v>
      </c>
      <c r="K664" t="s">
        <v>22</v>
      </c>
      <c r="L664" t="s">
        <v>23</v>
      </c>
      <c r="M664" t="str">
        <f t="shared" si="74"/>
        <v>1</v>
      </c>
      <c r="O664" t="str">
        <f t="shared" ref="O664:O669" si="79">CONCATENATE("1 ","")</f>
        <v xml:space="preserve">1 </v>
      </c>
      <c r="P664">
        <v>17.850000000000001</v>
      </c>
      <c r="Q664" t="s">
        <v>24</v>
      </c>
    </row>
    <row r="665" spans="1:17" x14ac:dyDescent="0.25">
      <c r="A665" t="s">
        <v>17</v>
      </c>
      <c r="B665" s="1">
        <v>41718</v>
      </c>
      <c r="C665" t="s">
        <v>786</v>
      </c>
      <c r="D665" t="str">
        <f>CONCATENATE("0060009443","")</f>
        <v>0060009443</v>
      </c>
      <c r="E665" t="str">
        <f>CONCATENATE("0120536000195       ","")</f>
        <v xml:space="preserve">0120536000195       </v>
      </c>
      <c r="F665" t="str">
        <f>CONCATENATE("605939302","")</f>
        <v>605939302</v>
      </c>
      <c r="G665" t="s">
        <v>1196</v>
      </c>
      <c r="H665" t="s">
        <v>1197</v>
      </c>
      <c r="I665" t="s">
        <v>1198</v>
      </c>
      <c r="J665" t="str">
        <f t="shared" si="77"/>
        <v>081210</v>
      </c>
      <c r="K665" t="s">
        <v>22</v>
      </c>
      <c r="L665" t="s">
        <v>23</v>
      </c>
      <c r="M665" t="str">
        <f t="shared" si="74"/>
        <v>1</v>
      </c>
      <c r="O665" t="str">
        <f t="shared" si="79"/>
        <v xml:space="preserve">1 </v>
      </c>
      <c r="P665">
        <v>12.35</v>
      </c>
      <c r="Q665" t="s">
        <v>24</v>
      </c>
    </row>
    <row r="666" spans="1:17" x14ac:dyDescent="0.25">
      <c r="A666" t="s">
        <v>17</v>
      </c>
      <c r="B666" s="1">
        <v>41718</v>
      </c>
      <c r="C666" t="s">
        <v>786</v>
      </c>
      <c r="D666" t="str">
        <f>CONCATENATE("0060009265","")</f>
        <v>0060009265</v>
      </c>
      <c r="E666" t="str">
        <f>CONCATENATE("0120536000270       ","")</f>
        <v xml:space="preserve">0120536000270       </v>
      </c>
      <c r="F666" t="str">
        <f>CONCATENATE("605741224","")</f>
        <v>605741224</v>
      </c>
      <c r="G666" t="s">
        <v>1196</v>
      </c>
      <c r="H666" t="s">
        <v>1199</v>
      </c>
      <c r="I666" t="s">
        <v>1200</v>
      </c>
      <c r="J666" t="str">
        <f t="shared" si="77"/>
        <v>081210</v>
      </c>
      <c r="K666" t="s">
        <v>22</v>
      </c>
      <c r="L666" t="s">
        <v>23</v>
      </c>
      <c r="M666" t="str">
        <f t="shared" si="74"/>
        <v>1</v>
      </c>
      <c r="O666" t="str">
        <f t="shared" si="79"/>
        <v xml:space="preserve">1 </v>
      </c>
      <c r="P666">
        <v>16.05</v>
      </c>
      <c r="Q666" t="s">
        <v>24</v>
      </c>
    </row>
    <row r="667" spans="1:17" x14ac:dyDescent="0.25">
      <c r="A667" t="s">
        <v>17</v>
      </c>
      <c r="B667" s="1">
        <v>41718</v>
      </c>
      <c r="C667" t="s">
        <v>786</v>
      </c>
      <c r="D667" t="str">
        <f>CONCATENATE("0060009362","")</f>
        <v>0060009362</v>
      </c>
      <c r="E667" t="str">
        <f>CONCATENATE("0120537000300       ","")</f>
        <v xml:space="preserve">0120537000300       </v>
      </c>
      <c r="F667" t="str">
        <f>CONCATENATE("605772680","")</f>
        <v>605772680</v>
      </c>
      <c r="G667" t="s">
        <v>1201</v>
      </c>
      <c r="H667" t="s">
        <v>1202</v>
      </c>
      <c r="I667" t="s">
        <v>1203</v>
      </c>
      <c r="J667" t="str">
        <f t="shared" si="77"/>
        <v>081210</v>
      </c>
      <c r="K667" t="s">
        <v>22</v>
      </c>
      <c r="L667" t="s">
        <v>23</v>
      </c>
      <c r="M667" t="str">
        <f t="shared" si="74"/>
        <v>1</v>
      </c>
      <c r="O667" t="str">
        <f t="shared" si="79"/>
        <v xml:space="preserve">1 </v>
      </c>
      <c r="P667">
        <v>21.95</v>
      </c>
      <c r="Q667" t="s">
        <v>24</v>
      </c>
    </row>
    <row r="668" spans="1:17" x14ac:dyDescent="0.25">
      <c r="A668" t="s">
        <v>17</v>
      </c>
      <c r="B668" s="1">
        <v>41718</v>
      </c>
      <c r="C668" t="s">
        <v>786</v>
      </c>
      <c r="D668" t="str">
        <f>CONCATENATE("0060010936","")</f>
        <v>0060010936</v>
      </c>
      <c r="E668" t="str">
        <f>CONCATENATE("0120542000040       ","")</f>
        <v xml:space="preserve">0120542000040       </v>
      </c>
      <c r="F668" t="str">
        <f>CONCATENATE("6694","")</f>
        <v>6694</v>
      </c>
      <c r="G668" t="s">
        <v>1204</v>
      </c>
      <c r="H668" t="s">
        <v>1205</v>
      </c>
      <c r="I668" t="s">
        <v>1206</v>
      </c>
      <c r="J668" t="str">
        <f t="shared" ref="J668:J675" si="80">CONCATENATE("081212","")</f>
        <v>081212</v>
      </c>
      <c r="K668" t="s">
        <v>22</v>
      </c>
      <c r="L668" t="s">
        <v>23</v>
      </c>
      <c r="M668" t="str">
        <f t="shared" si="74"/>
        <v>1</v>
      </c>
      <c r="O668" t="str">
        <f t="shared" si="79"/>
        <v xml:space="preserve">1 </v>
      </c>
      <c r="P668">
        <v>10.5</v>
      </c>
      <c r="Q668" t="s">
        <v>24</v>
      </c>
    </row>
    <row r="669" spans="1:17" x14ac:dyDescent="0.25">
      <c r="A669" t="s">
        <v>17</v>
      </c>
      <c r="B669" s="1">
        <v>41718</v>
      </c>
      <c r="C669" t="s">
        <v>786</v>
      </c>
      <c r="D669" t="str">
        <f>CONCATENATE("0060010945","")</f>
        <v>0060010945</v>
      </c>
      <c r="E669" t="str">
        <f>CONCATENATE("0120542000260       ","")</f>
        <v xml:space="preserve">0120542000260       </v>
      </c>
      <c r="F669" t="str">
        <f>CONCATENATE("6692","")</f>
        <v>6692</v>
      </c>
      <c r="G669" t="s">
        <v>1204</v>
      </c>
      <c r="H669" t="s">
        <v>1207</v>
      </c>
      <c r="I669" t="s">
        <v>1206</v>
      </c>
      <c r="J669" t="str">
        <f t="shared" si="80"/>
        <v>081212</v>
      </c>
      <c r="K669" t="s">
        <v>22</v>
      </c>
      <c r="L669" t="s">
        <v>23</v>
      </c>
      <c r="M669" t="str">
        <f t="shared" si="74"/>
        <v>1</v>
      </c>
      <c r="O669" t="str">
        <f t="shared" si="79"/>
        <v xml:space="preserve">1 </v>
      </c>
      <c r="P669">
        <v>10.45</v>
      </c>
      <c r="Q669" t="s">
        <v>24</v>
      </c>
    </row>
    <row r="670" spans="1:17" x14ac:dyDescent="0.25">
      <c r="A670" t="s">
        <v>17</v>
      </c>
      <c r="B670" s="1">
        <v>41718</v>
      </c>
      <c r="C670" t="s">
        <v>786</v>
      </c>
      <c r="D670" t="str">
        <f>CONCATENATE("0060010946","")</f>
        <v>0060010946</v>
      </c>
      <c r="E670" t="str">
        <f>CONCATENATE("0120542000270       ","")</f>
        <v xml:space="preserve">0120542000270       </v>
      </c>
      <c r="F670" t="str">
        <f>CONCATENATE("6788","")</f>
        <v>6788</v>
      </c>
      <c r="G670" t="s">
        <v>1204</v>
      </c>
      <c r="H670" t="s">
        <v>1208</v>
      </c>
      <c r="I670" t="s">
        <v>1206</v>
      </c>
      <c r="J670" t="str">
        <f t="shared" si="80"/>
        <v>081212</v>
      </c>
      <c r="K670" t="s">
        <v>22</v>
      </c>
      <c r="L670" t="s">
        <v>23</v>
      </c>
      <c r="M670" t="str">
        <f t="shared" si="74"/>
        <v>1</v>
      </c>
      <c r="O670" t="str">
        <f>CONCATENATE("2 ","")</f>
        <v xml:space="preserve">2 </v>
      </c>
      <c r="P670">
        <v>30.8</v>
      </c>
      <c r="Q670" t="s">
        <v>24</v>
      </c>
    </row>
    <row r="671" spans="1:17" x14ac:dyDescent="0.25">
      <c r="A671" t="s">
        <v>17</v>
      </c>
      <c r="B671" s="1">
        <v>41718</v>
      </c>
      <c r="C671" t="s">
        <v>786</v>
      </c>
      <c r="D671" t="str">
        <f>CONCATENATE("0060010963","")</f>
        <v>0060010963</v>
      </c>
      <c r="E671" t="str">
        <f>CONCATENATE("0120543000100       ","")</f>
        <v xml:space="preserve">0120543000100       </v>
      </c>
      <c r="F671" t="str">
        <f>CONCATENATE("605745471","")</f>
        <v>605745471</v>
      </c>
      <c r="G671" t="s">
        <v>1209</v>
      </c>
      <c r="H671" t="s">
        <v>1210</v>
      </c>
      <c r="I671" t="s">
        <v>1211</v>
      </c>
      <c r="J671" t="str">
        <f t="shared" si="80"/>
        <v>081212</v>
      </c>
      <c r="K671" t="s">
        <v>22</v>
      </c>
      <c r="L671" t="s">
        <v>23</v>
      </c>
      <c r="M671" t="str">
        <f t="shared" si="74"/>
        <v>1</v>
      </c>
      <c r="O671" t="str">
        <f>CONCATENATE("1 ","")</f>
        <v xml:space="preserve">1 </v>
      </c>
      <c r="P671">
        <v>21.95</v>
      </c>
      <c r="Q671" t="s">
        <v>24</v>
      </c>
    </row>
    <row r="672" spans="1:17" x14ac:dyDescent="0.25">
      <c r="A672" t="s">
        <v>17</v>
      </c>
      <c r="B672" s="1">
        <v>41718</v>
      </c>
      <c r="C672" t="s">
        <v>786</v>
      </c>
      <c r="D672" t="str">
        <f>CONCATENATE("0060010960","")</f>
        <v>0060010960</v>
      </c>
      <c r="E672" t="str">
        <f>CONCATENATE("0120543000110       ","")</f>
        <v xml:space="preserve">0120543000110       </v>
      </c>
      <c r="F672" t="str">
        <f>CONCATENATE("1106689","")</f>
        <v>1106689</v>
      </c>
      <c r="G672" t="s">
        <v>1209</v>
      </c>
      <c r="H672" t="s">
        <v>1212</v>
      </c>
      <c r="I672" t="s">
        <v>1211</v>
      </c>
      <c r="J672" t="str">
        <f t="shared" si="80"/>
        <v>081212</v>
      </c>
      <c r="K672" t="s">
        <v>22</v>
      </c>
      <c r="L672" t="s">
        <v>23</v>
      </c>
      <c r="M672" t="str">
        <f t="shared" si="74"/>
        <v>1</v>
      </c>
      <c r="O672" t="str">
        <f>CONCATENATE("1 ","")</f>
        <v xml:space="preserve">1 </v>
      </c>
      <c r="P672">
        <v>18.2</v>
      </c>
      <c r="Q672" t="s">
        <v>24</v>
      </c>
    </row>
    <row r="673" spans="1:17" x14ac:dyDescent="0.25">
      <c r="A673" t="s">
        <v>17</v>
      </c>
      <c r="B673" s="1">
        <v>41718</v>
      </c>
      <c r="C673" t="s">
        <v>786</v>
      </c>
      <c r="D673" t="str">
        <f>CONCATENATE("0060010933","")</f>
        <v>0060010933</v>
      </c>
      <c r="E673" t="str">
        <f>CONCATENATE("0120544000050       ","")</f>
        <v xml:space="preserve">0120544000050       </v>
      </c>
      <c r="F673" t="str">
        <f>CONCATENATE("6771","")</f>
        <v>6771</v>
      </c>
      <c r="G673" t="s">
        <v>1213</v>
      </c>
      <c r="H673" t="s">
        <v>1214</v>
      </c>
      <c r="I673" t="s">
        <v>1215</v>
      </c>
      <c r="J673" t="str">
        <f t="shared" si="80"/>
        <v>081212</v>
      </c>
      <c r="K673" t="s">
        <v>22</v>
      </c>
      <c r="L673" t="s">
        <v>23</v>
      </c>
      <c r="M673" t="str">
        <f t="shared" si="74"/>
        <v>1</v>
      </c>
      <c r="O673" t="str">
        <f>CONCATENATE("1 ","")</f>
        <v xml:space="preserve">1 </v>
      </c>
      <c r="P673">
        <v>10.45</v>
      </c>
      <c r="Q673" t="s">
        <v>24</v>
      </c>
    </row>
    <row r="674" spans="1:17" x14ac:dyDescent="0.25">
      <c r="A674" t="s">
        <v>17</v>
      </c>
      <c r="B674" s="1">
        <v>41718</v>
      </c>
      <c r="C674" t="s">
        <v>786</v>
      </c>
      <c r="D674" t="str">
        <f>CONCATENATE("0060011052","")</f>
        <v>0060011052</v>
      </c>
      <c r="E674" t="str">
        <f>CONCATENATE("0120544000110       ","")</f>
        <v xml:space="preserve">0120544000110       </v>
      </c>
      <c r="F674" t="str">
        <f>CONCATENATE("6756","")</f>
        <v>6756</v>
      </c>
      <c r="G674" t="s">
        <v>1213</v>
      </c>
      <c r="H674" t="s">
        <v>1216</v>
      </c>
      <c r="I674" t="s">
        <v>1217</v>
      </c>
      <c r="J674" t="str">
        <f t="shared" si="80"/>
        <v>081212</v>
      </c>
      <c r="K674" t="s">
        <v>22</v>
      </c>
      <c r="L674" t="s">
        <v>23</v>
      </c>
      <c r="M674" t="str">
        <f t="shared" si="74"/>
        <v>1</v>
      </c>
      <c r="O674" t="str">
        <f>CONCATENATE("1 ","")</f>
        <v xml:space="preserve">1 </v>
      </c>
      <c r="P674">
        <v>212.8</v>
      </c>
      <c r="Q674" t="s">
        <v>24</v>
      </c>
    </row>
    <row r="675" spans="1:17" x14ac:dyDescent="0.25">
      <c r="A675" t="s">
        <v>17</v>
      </c>
      <c r="B675" s="1">
        <v>41718</v>
      </c>
      <c r="C675" t="s">
        <v>786</v>
      </c>
      <c r="D675" t="str">
        <f>CONCATENATE("0060011051","")</f>
        <v>0060011051</v>
      </c>
      <c r="E675" t="str">
        <f>CONCATENATE("0120544000120       ","")</f>
        <v xml:space="preserve">0120544000120       </v>
      </c>
      <c r="F675" t="str">
        <f>CONCATENATE("5068","")</f>
        <v>5068</v>
      </c>
      <c r="G675" t="s">
        <v>1213</v>
      </c>
      <c r="H675" t="s">
        <v>1218</v>
      </c>
      <c r="I675" t="s">
        <v>1217</v>
      </c>
      <c r="J675" t="str">
        <f t="shared" si="80"/>
        <v>081212</v>
      </c>
      <c r="K675" t="s">
        <v>22</v>
      </c>
      <c r="L675" t="s">
        <v>23</v>
      </c>
      <c r="M675" t="str">
        <f t="shared" si="74"/>
        <v>1</v>
      </c>
      <c r="O675" t="str">
        <f>CONCATENATE("2 ","")</f>
        <v xml:space="preserve">2 </v>
      </c>
      <c r="P675">
        <v>16.149999999999999</v>
      </c>
      <c r="Q675" t="s">
        <v>24</v>
      </c>
    </row>
    <row r="676" spans="1:17" x14ac:dyDescent="0.25">
      <c r="A676" t="s">
        <v>17</v>
      </c>
      <c r="B676" s="1">
        <v>41718</v>
      </c>
      <c r="C676" t="s">
        <v>786</v>
      </c>
      <c r="D676" t="str">
        <f>CONCATENATE("0060014084","")</f>
        <v>0060014084</v>
      </c>
      <c r="E676" t="str">
        <f>CONCATENATE("0120544000150       ","")</f>
        <v xml:space="preserve">0120544000150       </v>
      </c>
      <c r="F676" t="str">
        <f>CONCATENATE("605621110","")</f>
        <v>605621110</v>
      </c>
      <c r="G676" t="s">
        <v>1213</v>
      </c>
      <c r="H676" t="s">
        <v>1219</v>
      </c>
      <c r="I676" t="s">
        <v>1220</v>
      </c>
      <c r="J676" t="str">
        <f>CONCATENATE("081210","")</f>
        <v>081210</v>
      </c>
      <c r="K676" t="s">
        <v>22</v>
      </c>
      <c r="L676" t="s">
        <v>23</v>
      </c>
      <c r="M676" t="str">
        <f t="shared" si="74"/>
        <v>1</v>
      </c>
      <c r="O676" t="str">
        <f t="shared" ref="O676:O684" si="81">CONCATENATE("1 ","")</f>
        <v xml:space="preserve">1 </v>
      </c>
      <c r="P676">
        <v>17.8</v>
      </c>
      <c r="Q676" t="s">
        <v>24</v>
      </c>
    </row>
    <row r="677" spans="1:17" x14ac:dyDescent="0.25">
      <c r="A677" t="s">
        <v>17</v>
      </c>
      <c r="B677" s="1">
        <v>41718</v>
      </c>
      <c r="C677" t="s">
        <v>786</v>
      </c>
      <c r="D677" t="str">
        <f>CONCATENATE("0060010901","")</f>
        <v>0060010901</v>
      </c>
      <c r="E677" t="str">
        <f>CONCATENATE("0120544000280       ","")</f>
        <v xml:space="preserve">0120544000280       </v>
      </c>
      <c r="F677" t="str">
        <f>CONCATENATE("5497","")</f>
        <v>5497</v>
      </c>
      <c r="G677" t="s">
        <v>1213</v>
      </c>
      <c r="H677" t="s">
        <v>1221</v>
      </c>
      <c r="I677" t="s">
        <v>1215</v>
      </c>
      <c r="J677" t="str">
        <f>CONCATENATE("081212","")</f>
        <v>081212</v>
      </c>
      <c r="K677" t="s">
        <v>22</v>
      </c>
      <c r="L677" t="s">
        <v>23</v>
      </c>
      <c r="M677" t="str">
        <f t="shared" si="74"/>
        <v>1</v>
      </c>
      <c r="O677" t="str">
        <f t="shared" si="81"/>
        <v xml:space="preserve">1 </v>
      </c>
      <c r="P677">
        <v>52</v>
      </c>
      <c r="Q677" t="s">
        <v>24</v>
      </c>
    </row>
    <row r="678" spans="1:17" x14ac:dyDescent="0.25">
      <c r="A678" t="s">
        <v>17</v>
      </c>
      <c r="B678" s="1">
        <v>41718</v>
      </c>
      <c r="C678" t="s">
        <v>786</v>
      </c>
      <c r="D678" t="str">
        <f>CONCATENATE("0060010922","")</f>
        <v>0060010922</v>
      </c>
      <c r="E678" t="str">
        <f>CONCATENATE("0120544000330       ","")</f>
        <v xml:space="preserve">0120544000330       </v>
      </c>
      <c r="F678" t="str">
        <f>CONCATENATE("6760","")</f>
        <v>6760</v>
      </c>
      <c r="G678" t="s">
        <v>1213</v>
      </c>
      <c r="H678" t="s">
        <v>1222</v>
      </c>
      <c r="I678" t="s">
        <v>1215</v>
      </c>
      <c r="J678" t="str">
        <f>CONCATENATE("081212","")</f>
        <v>081212</v>
      </c>
      <c r="K678" t="s">
        <v>22</v>
      </c>
      <c r="L678" t="s">
        <v>23</v>
      </c>
      <c r="M678" t="str">
        <f t="shared" si="74"/>
        <v>1</v>
      </c>
      <c r="O678" t="str">
        <f t="shared" si="81"/>
        <v xml:space="preserve">1 </v>
      </c>
      <c r="P678">
        <v>10.45</v>
      </c>
      <c r="Q678" t="s">
        <v>24</v>
      </c>
    </row>
    <row r="679" spans="1:17" x14ac:dyDescent="0.25">
      <c r="A679" t="s">
        <v>17</v>
      </c>
      <c r="B679" s="1">
        <v>41718</v>
      </c>
      <c r="C679" t="s">
        <v>786</v>
      </c>
      <c r="D679" t="str">
        <f>CONCATENATE("0060011055","")</f>
        <v>0060011055</v>
      </c>
      <c r="E679" t="str">
        <f>CONCATENATE("0120544000345       ","")</f>
        <v xml:space="preserve">0120544000345       </v>
      </c>
      <c r="F679" t="str">
        <f>CONCATENATE("4834","")</f>
        <v>4834</v>
      </c>
      <c r="G679" t="s">
        <v>1213</v>
      </c>
      <c r="H679" t="s">
        <v>1223</v>
      </c>
      <c r="I679" t="s">
        <v>1224</v>
      </c>
      <c r="J679" t="str">
        <f>CONCATENATE("081212","")</f>
        <v>081212</v>
      </c>
      <c r="K679" t="s">
        <v>22</v>
      </c>
      <c r="L679" t="s">
        <v>23</v>
      </c>
      <c r="M679" t="str">
        <f t="shared" si="74"/>
        <v>1</v>
      </c>
      <c r="O679" t="str">
        <f t="shared" si="81"/>
        <v xml:space="preserve">1 </v>
      </c>
      <c r="P679">
        <v>19.7</v>
      </c>
      <c r="Q679" t="s">
        <v>24</v>
      </c>
    </row>
    <row r="680" spans="1:17" x14ac:dyDescent="0.25">
      <c r="A680" t="s">
        <v>17</v>
      </c>
      <c r="B680" s="1">
        <v>41718</v>
      </c>
      <c r="C680" t="s">
        <v>786</v>
      </c>
      <c r="D680" t="str">
        <f>CONCATENATE("0060010906","")</f>
        <v>0060010906</v>
      </c>
      <c r="E680" t="str">
        <f>CONCATENATE("0120544000600       ","")</f>
        <v xml:space="preserve">0120544000600       </v>
      </c>
      <c r="F680" t="str">
        <f>CONCATENATE("5498","")</f>
        <v>5498</v>
      </c>
      <c r="G680" t="s">
        <v>1213</v>
      </c>
      <c r="H680" t="s">
        <v>1225</v>
      </c>
      <c r="I680" t="s">
        <v>1215</v>
      </c>
      <c r="J680" t="str">
        <f>CONCATENATE("081212","")</f>
        <v>081212</v>
      </c>
      <c r="K680" t="s">
        <v>22</v>
      </c>
      <c r="L680" t="s">
        <v>23</v>
      </c>
      <c r="M680" t="str">
        <f t="shared" ref="M680:M743" si="82">CONCATENATE("1","")</f>
        <v>1</v>
      </c>
      <c r="O680" t="str">
        <f t="shared" si="81"/>
        <v xml:space="preserve">1 </v>
      </c>
      <c r="P680">
        <v>11.6</v>
      </c>
      <c r="Q680" t="s">
        <v>24</v>
      </c>
    </row>
    <row r="681" spans="1:17" x14ac:dyDescent="0.25">
      <c r="A681" t="s">
        <v>17</v>
      </c>
      <c r="B681" s="1">
        <v>41718</v>
      </c>
      <c r="C681" t="s">
        <v>786</v>
      </c>
      <c r="D681" t="str">
        <f>CONCATENATE("0060011054","")</f>
        <v>0060011054</v>
      </c>
      <c r="E681" t="str">
        <f>CONCATENATE("0120544000630       ","")</f>
        <v xml:space="preserve">0120544000630       </v>
      </c>
      <c r="F681" t="str">
        <f>CONCATENATE("1946292","")</f>
        <v>1946292</v>
      </c>
      <c r="G681" t="s">
        <v>1213</v>
      </c>
      <c r="H681" t="s">
        <v>1226</v>
      </c>
      <c r="I681" t="s">
        <v>1217</v>
      </c>
      <c r="J681" t="str">
        <f>CONCATENATE("081212","")</f>
        <v>081212</v>
      </c>
      <c r="K681" t="s">
        <v>22</v>
      </c>
      <c r="L681" t="s">
        <v>23</v>
      </c>
      <c r="M681" t="str">
        <f t="shared" si="82"/>
        <v>1</v>
      </c>
      <c r="O681" t="str">
        <f t="shared" si="81"/>
        <v xml:space="preserve">1 </v>
      </c>
      <c r="P681">
        <v>17.25</v>
      </c>
      <c r="Q681" t="s">
        <v>24</v>
      </c>
    </row>
    <row r="682" spans="1:17" x14ac:dyDescent="0.25">
      <c r="A682" t="s">
        <v>17</v>
      </c>
      <c r="B682" s="1">
        <v>41718</v>
      </c>
      <c r="C682" t="s">
        <v>786</v>
      </c>
      <c r="D682" t="str">
        <f>CONCATENATE("0060013939","")</f>
        <v>0060013939</v>
      </c>
      <c r="E682" t="str">
        <f>CONCATENATE("0120544000680       ","")</f>
        <v xml:space="preserve">0120544000680       </v>
      </c>
      <c r="F682" t="str">
        <f>CONCATENATE("605621017","")</f>
        <v>605621017</v>
      </c>
      <c r="G682" t="s">
        <v>1213</v>
      </c>
      <c r="H682" t="s">
        <v>1227</v>
      </c>
      <c r="I682" t="s">
        <v>1228</v>
      </c>
      <c r="J682" t="str">
        <f>CONCATENATE("081210","")</f>
        <v>081210</v>
      </c>
      <c r="K682" t="s">
        <v>22</v>
      </c>
      <c r="L682" t="s">
        <v>23</v>
      </c>
      <c r="M682" t="str">
        <f t="shared" si="82"/>
        <v>1</v>
      </c>
      <c r="O682" t="str">
        <f t="shared" si="81"/>
        <v xml:space="preserve">1 </v>
      </c>
      <c r="P682">
        <v>10.45</v>
      </c>
      <c r="Q682" t="s">
        <v>24</v>
      </c>
    </row>
    <row r="683" spans="1:17" x14ac:dyDescent="0.25">
      <c r="A683" t="s">
        <v>17</v>
      </c>
      <c r="B683" s="1">
        <v>41718</v>
      </c>
      <c r="C683" t="s">
        <v>786</v>
      </c>
      <c r="D683" t="str">
        <f>CONCATENATE("0060011063","")</f>
        <v>0060011063</v>
      </c>
      <c r="E683" t="str">
        <f>CONCATENATE("0120545000050       ","")</f>
        <v xml:space="preserve">0120545000050       </v>
      </c>
      <c r="F683" t="str">
        <f>CONCATENATE("5067","")</f>
        <v>5067</v>
      </c>
      <c r="G683" t="s">
        <v>1229</v>
      </c>
      <c r="H683" t="s">
        <v>1230</v>
      </c>
      <c r="I683" t="s">
        <v>1217</v>
      </c>
      <c r="J683" t="str">
        <f>CONCATENATE("081212","")</f>
        <v>081212</v>
      </c>
      <c r="K683" t="s">
        <v>22</v>
      </c>
      <c r="L683" t="s">
        <v>23</v>
      </c>
      <c r="M683" t="str">
        <f t="shared" si="82"/>
        <v>1</v>
      </c>
      <c r="O683" t="str">
        <f t="shared" si="81"/>
        <v xml:space="preserve">1 </v>
      </c>
      <c r="P683">
        <v>23.45</v>
      </c>
      <c r="Q683" t="s">
        <v>24</v>
      </c>
    </row>
    <row r="684" spans="1:17" x14ac:dyDescent="0.25">
      <c r="A684" t="s">
        <v>17</v>
      </c>
      <c r="B684" s="1">
        <v>41718</v>
      </c>
      <c r="C684" t="s">
        <v>786</v>
      </c>
      <c r="D684" t="str">
        <f>CONCATENATE("0060017715","")</f>
        <v>0060017715</v>
      </c>
      <c r="E684" t="str">
        <f>CONCATENATE("0120545000182       ","")</f>
        <v xml:space="preserve">0120545000182       </v>
      </c>
      <c r="F684" t="str">
        <f>CONCATENATE("2150458","")</f>
        <v>2150458</v>
      </c>
      <c r="G684" t="s">
        <v>1229</v>
      </c>
      <c r="H684" t="s">
        <v>1231</v>
      </c>
      <c r="I684" t="s">
        <v>1232</v>
      </c>
      <c r="J684" t="str">
        <f>CONCATENATE("081210","")</f>
        <v>081210</v>
      </c>
      <c r="K684" t="s">
        <v>22</v>
      </c>
      <c r="L684" t="s">
        <v>23</v>
      </c>
      <c r="M684" t="str">
        <f t="shared" si="82"/>
        <v>1</v>
      </c>
      <c r="O684" t="str">
        <f t="shared" si="81"/>
        <v xml:space="preserve">1 </v>
      </c>
      <c r="P684">
        <v>21.9</v>
      </c>
      <c r="Q684" t="s">
        <v>24</v>
      </c>
    </row>
    <row r="685" spans="1:17" x14ac:dyDescent="0.25">
      <c r="A685" t="s">
        <v>17</v>
      </c>
      <c r="B685" s="1">
        <v>41718</v>
      </c>
      <c r="C685" t="s">
        <v>786</v>
      </c>
      <c r="D685" t="str">
        <f>CONCATENATE("0060012158","")</f>
        <v>0060012158</v>
      </c>
      <c r="E685" t="str">
        <f>CONCATENATE("0120545000225       ","")</f>
        <v xml:space="preserve">0120545000225       </v>
      </c>
      <c r="F685" t="str">
        <f>CONCATENATE("605115148","")</f>
        <v>605115148</v>
      </c>
      <c r="G685" t="s">
        <v>1229</v>
      </c>
      <c r="H685" t="s">
        <v>1233</v>
      </c>
      <c r="I685" t="s">
        <v>1234</v>
      </c>
      <c r="J685" t="str">
        <f>CONCATENATE("081210","")</f>
        <v>081210</v>
      </c>
      <c r="K685" t="s">
        <v>22</v>
      </c>
      <c r="L685" t="s">
        <v>23</v>
      </c>
      <c r="M685" t="str">
        <f t="shared" si="82"/>
        <v>1</v>
      </c>
      <c r="O685" t="str">
        <f>CONCATENATE("3 ","")</f>
        <v xml:space="preserve">3 </v>
      </c>
      <c r="P685">
        <v>257.14999999999998</v>
      </c>
      <c r="Q685" t="s">
        <v>24</v>
      </c>
    </row>
    <row r="686" spans="1:17" x14ac:dyDescent="0.25">
      <c r="A686" t="s">
        <v>17</v>
      </c>
      <c r="B686" s="1">
        <v>41718</v>
      </c>
      <c r="C686" t="s">
        <v>786</v>
      </c>
      <c r="D686" t="str">
        <f>CONCATENATE("0060011073","")</f>
        <v>0060011073</v>
      </c>
      <c r="E686" t="str">
        <f>CONCATENATE("0120545000240       ","")</f>
        <v xml:space="preserve">0120545000240       </v>
      </c>
      <c r="F686" t="str">
        <f>CONCATENATE("4842","")</f>
        <v>4842</v>
      </c>
      <c r="G686" t="s">
        <v>1229</v>
      </c>
      <c r="H686" t="s">
        <v>1235</v>
      </c>
      <c r="I686" t="s">
        <v>1217</v>
      </c>
      <c r="J686" t="str">
        <f>CONCATENATE("081212","")</f>
        <v>081212</v>
      </c>
      <c r="K686" t="s">
        <v>22</v>
      </c>
      <c r="L686" t="s">
        <v>23</v>
      </c>
      <c r="M686" t="str">
        <f t="shared" si="82"/>
        <v>1</v>
      </c>
      <c r="O686" t="str">
        <f>CONCATENATE("1 ","")</f>
        <v xml:space="preserve">1 </v>
      </c>
      <c r="P686">
        <v>48.55</v>
      </c>
      <c r="Q686" t="s">
        <v>24</v>
      </c>
    </row>
    <row r="687" spans="1:17" x14ac:dyDescent="0.25">
      <c r="A687" t="s">
        <v>17</v>
      </c>
      <c r="B687" s="1">
        <v>41718</v>
      </c>
      <c r="C687" t="s">
        <v>786</v>
      </c>
      <c r="D687" t="str">
        <f>CONCATENATE("0060011070","")</f>
        <v>0060011070</v>
      </c>
      <c r="E687" t="str">
        <f>CONCATENATE("0120545000330       ","")</f>
        <v xml:space="preserve">0120545000330       </v>
      </c>
      <c r="F687" t="str">
        <f>CONCATENATE("5058","")</f>
        <v>5058</v>
      </c>
      <c r="G687" t="s">
        <v>1229</v>
      </c>
      <c r="H687" t="s">
        <v>1236</v>
      </c>
      <c r="I687" t="s">
        <v>1217</v>
      </c>
      <c r="J687" t="str">
        <f>CONCATENATE("081212","")</f>
        <v>081212</v>
      </c>
      <c r="K687" t="s">
        <v>22</v>
      </c>
      <c r="L687" t="s">
        <v>23</v>
      </c>
      <c r="M687" t="str">
        <f t="shared" si="82"/>
        <v>1</v>
      </c>
      <c r="O687" t="str">
        <f>CONCATENATE("1 ","")</f>
        <v xml:space="preserve">1 </v>
      </c>
      <c r="P687">
        <v>10.5</v>
      </c>
      <c r="Q687" t="s">
        <v>24</v>
      </c>
    </row>
    <row r="688" spans="1:17" x14ac:dyDescent="0.25">
      <c r="A688" t="s">
        <v>17</v>
      </c>
      <c r="B688" s="1">
        <v>41718</v>
      </c>
      <c r="C688" t="s">
        <v>786</v>
      </c>
      <c r="D688" t="str">
        <f>CONCATENATE("0060011338","")</f>
        <v>0060011338</v>
      </c>
      <c r="E688" t="str">
        <f>CONCATENATE("0120546000010       ","")</f>
        <v xml:space="preserve">0120546000010       </v>
      </c>
      <c r="F688" t="str">
        <f>CONCATENATE("01221380","")</f>
        <v>01221380</v>
      </c>
      <c r="G688" t="s">
        <v>1237</v>
      </c>
      <c r="H688" t="s">
        <v>1238</v>
      </c>
      <c r="I688" t="s">
        <v>1239</v>
      </c>
      <c r="J688" t="str">
        <f t="shared" ref="J688:J719" si="83">CONCATENATE("081210","")</f>
        <v>081210</v>
      </c>
      <c r="K688" t="s">
        <v>22</v>
      </c>
      <c r="L688" t="s">
        <v>23</v>
      </c>
      <c r="M688" t="str">
        <f t="shared" si="82"/>
        <v>1</v>
      </c>
      <c r="O688" t="str">
        <f>CONCATENATE("2 ","")</f>
        <v xml:space="preserve">2 </v>
      </c>
      <c r="P688">
        <v>45.05</v>
      </c>
      <c r="Q688" t="s">
        <v>24</v>
      </c>
    </row>
    <row r="689" spans="1:17" x14ac:dyDescent="0.25">
      <c r="A689" t="s">
        <v>17</v>
      </c>
      <c r="B689" s="1">
        <v>41718</v>
      </c>
      <c r="C689" t="s">
        <v>786</v>
      </c>
      <c r="D689" t="str">
        <f>CONCATENATE("0060018488","")</f>
        <v>0060018488</v>
      </c>
      <c r="E689" t="str">
        <f>CONCATENATE("0120546000015       ","")</f>
        <v xml:space="preserve">0120546000015       </v>
      </c>
      <c r="F689" t="str">
        <f>CONCATENATE("0606306445","")</f>
        <v>0606306445</v>
      </c>
      <c r="G689" t="s">
        <v>1237</v>
      </c>
      <c r="H689" t="s">
        <v>1240</v>
      </c>
      <c r="I689" t="s">
        <v>1241</v>
      </c>
      <c r="J689" t="str">
        <f t="shared" si="83"/>
        <v>081210</v>
      </c>
      <c r="K689" t="s">
        <v>22</v>
      </c>
      <c r="L689" t="s">
        <v>23</v>
      </c>
      <c r="M689" t="str">
        <f t="shared" si="82"/>
        <v>1</v>
      </c>
      <c r="O689" t="str">
        <f>CONCATENATE("5 ","")</f>
        <v xml:space="preserve">5 </v>
      </c>
      <c r="P689">
        <v>33.450000000000003</v>
      </c>
      <c r="Q689" t="s">
        <v>24</v>
      </c>
    </row>
    <row r="690" spans="1:17" x14ac:dyDescent="0.25">
      <c r="A690" t="s">
        <v>17</v>
      </c>
      <c r="B690" s="1">
        <v>41718</v>
      </c>
      <c r="C690" t="s">
        <v>786</v>
      </c>
      <c r="D690" t="str">
        <f>CONCATENATE("0060011333","")</f>
        <v>0060011333</v>
      </c>
      <c r="E690" t="str">
        <f>CONCATENATE("0120546000060       ","")</f>
        <v xml:space="preserve">0120546000060       </v>
      </c>
      <c r="F690" t="str">
        <f>CONCATENATE("605114769","")</f>
        <v>605114769</v>
      </c>
      <c r="G690" t="s">
        <v>1237</v>
      </c>
      <c r="H690" t="s">
        <v>1242</v>
      </c>
      <c r="I690" t="s">
        <v>1239</v>
      </c>
      <c r="J690" t="str">
        <f t="shared" si="83"/>
        <v>081210</v>
      </c>
      <c r="K690" t="s">
        <v>22</v>
      </c>
      <c r="L690" t="s">
        <v>23</v>
      </c>
      <c r="M690" t="str">
        <f t="shared" si="82"/>
        <v>1</v>
      </c>
      <c r="O690" t="str">
        <f>CONCATENATE("1 ","")</f>
        <v xml:space="preserve">1 </v>
      </c>
      <c r="P690">
        <v>23.65</v>
      </c>
      <c r="Q690" t="s">
        <v>24</v>
      </c>
    </row>
    <row r="691" spans="1:17" x14ac:dyDescent="0.25">
      <c r="A691" t="s">
        <v>17</v>
      </c>
      <c r="B691" s="1">
        <v>41718</v>
      </c>
      <c r="C691" t="s">
        <v>786</v>
      </c>
      <c r="D691" t="str">
        <f>CONCATENATE("0060011289","")</f>
        <v>0060011289</v>
      </c>
      <c r="E691" t="str">
        <f>CONCATENATE("0120546000070       ","")</f>
        <v xml:space="preserve">0120546000070       </v>
      </c>
      <c r="F691" t="str">
        <f>CONCATENATE("01221373","")</f>
        <v>01221373</v>
      </c>
      <c r="G691" t="s">
        <v>1237</v>
      </c>
      <c r="H691" t="s">
        <v>1243</v>
      </c>
      <c r="I691" t="s">
        <v>1239</v>
      </c>
      <c r="J691" t="str">
        <f t="shared" si="83"/>
        <v>081210</v>
      </c>
      <c r="K691" t="s">
        <v>22</v>
      </c>
      <c r="L691" t="s">
        <v>23</v>
      </c>
      <c r="M691" t="str">
        <f t="shared" si="82"/>
        <v>1</v>
      </c>
      <c r="O691" t="str">
        <f>CONCATENATE("1 ","")</f>
        <v xml:space="preserve">1 </v>
      </c>
      <c r="P691">
        <v>10.45</v>
      </c>
      <c r="Q691" t="s">
        <v>24</v>
      </c>
    </row>
    <row r="692" spans="1:17" x14ac:dyDescent="0.25">
      <c r="A692" t="s">
        <v>17</v>
      </c>
      <c r="B692" s="1">
        <v>41718</v>
      </c>
      <c r="C692" t="s">
        <v>786</v>
      </c>
      <c r="D692" t="str">
        <f>CONCATENATE("0060011342","")</f>
        <v>0060011342</v>
      </c>
      <c r="E692" t="str">
        <f>CONCATENATE("0120546000120       ","")</f>
        <v xml:space="preserve">0120546000120       </v>
      </c>
      <c r="F692" t="str">
        <f>CONCATENATE("01220958","")</f>
        <v>01220958</v>
      </c>
      <c r="G692" t="s">
        <v>1244</v>
      </c>
      <c r="H692" t="s">
        <v>1240</v>
      </c>
      <c r="I692" t="s">
        <v>1239</v>
      </c>
      <c r="J692" t="str">
        <f t="shared" si="83"/>
        <v>081210</v>
      </c>
      <c r="K692" t="s">
        <v>22</v>
      </c>
      <c r="L692" t="s">
        <v>23</v>
      </c>
      <c r="M692" t="str">
        <f t="shared" si="82"/>
        <v>1</v>
      </c>
      <c r="O692" t="str">
        <f>CONCATENATE("5 ","")</f>
        <v xml:space="preserve">5 </v>
      </c>
      <c r="P692">
        <v>31.05</v>
      </c>
      <c r="Q692" t="s">
        <v>24</v>
      </c>
    </row>
    <row r="693" spans="1:17" x14ac:dyDescent="0.25">
      <c r="A693" t="s">
        <v>17</v>
      </c>
      <c r="B693" s="1">
        <v>41718</v>
      </c>
      <c r="C693" t="s">
        <v>786</v>
      </c>
      <c r="D693" t="str">
        <f>CONCATENATE("0060018361","")</f>
        <v>0060018361</v>
      </c>
      <c r="E693" t="str">
        <f>CONCATENATE("0120546000136       ","")</f>
        <v xml:space="preserve">0120546000136       </v>
      </c>
      <c r="F693" t="str">
        <f>CONCATENATE("0606306451","")</f>
        <v>0606306451</v>
      </c>
      <c r="G693" t="s">
        <v>1237</v>
      </c>
      <c r="H693" t="s">
        <v>1245</v>
      </c>
      <c r="I693" t="s">
        <v>1246</v>
      </c>
      <c r="J693" t="str">
        <f t="shared" si="83"/>
        <v>081210</v>
      </c>
      <c r="K693" t="s">
        <v>22</v>
      </c>
      <c r="L693" t="s">
        <v>23</v>
      </c>
      <c r="M693" t="str">
        <f t="shared" si="82"/>
        <v>1</v>
      </c>
      <c r="O693" t="str">
        <f t="shared" ref="O693:O698" si="84">CONCATENATE("1 ","")</f>
        <v xml:space="preserve">1 </v>
      </c>
      <c r="P693">
        <v>13.25</v>
      </c>
      <c r="Q693" t="s">
        <v>24</v>
      </c>
    </row>
    <row r="694" spans="1:17" x14ac:dyDescent="0.25">
      <c r="A694" t="s">
        <v>17</v>
      </c>
      <c r="B694" s="1">
        <v>41718</v>
      </c>
      <c r="C694" t="s">
        <v>786</v>
      </c>
      <c r="D694" t="str">
        <f>CONCATENATE("0060018465","")</f>
        <v>0060018465</v>
      </c>
      <c r="E694" t="str">
        <f>CONCATENATE("0120546000165       ","")</f>
        <v xml:space="preserve">0120546000165       </v>
      </c>
      <c r="F694" t="str">
        <f>CONCATENATE("0606306490","")</f>
        <v>0606306490</v>
      </c>
      <c r="G694" t="s">
        <v>1237</v>
      </c>
      <c r="H694" t="s">
        <v>1247</v>
      </c>
      <c r="I694" t="s">
        <v>1248</v>
      </c>
      <c r="J694" t="str">
        <f t="shared" si="83"/>
        <v>081210</v>
      </c>
      <c r="K694" t="s">
        <v>22</v>
      </c>
      <c r="L694" t="s">
        <v>23</v>
      </c>
      <c r="M694" t="str">
        <f t="shared" si="82"/>
        <v>1</v>
      </c>
      <c r="O694" t="str">
        <f t="shared" si="84"/>
        <v xml:space="preserve">1 </v>
      </c>
      <c r="P694">
        <v>44</v>
      </c>
      <c r="Q694" t="s">
        <v>24</v>
      </c>
    </row>
    <row r="695" spans="1:17" x14ac:dyDescent="0.25">
      <c r="A695" t="s">
        <v>17</v>
      </c>
      <c r="B695" s="1">
        <v>41718</v>
      </c>
      <c r="C695" t="s">
        <v>786</v>
      </c>
      <c r="D695" t="str">
        <f>CONCATENATE("0060011316","")</f>
        <v>0060011316</v>
      </c>
      <c r="E695" t="str">
        <f>CONCATENATE("0120546000200       ","")</f>
        <v xml:space="preserve">0120546000200       </v>
      </c>
      <c r="F695" t="str">
        <f>CONCATENATE("605085321","")</f>
        <v>605085321</v>
      </c>
      <c r="G695" t="s">
        <v>1237</v>
      </c>
      <c r="H695" t="s">
        <v>1249</v>
      </c>
      <c r="I695" t="s">
        <v>1239</v>
      </c>
      <c r="J695" t="str">
        <f t="shared" si="83"/>
        <v>081210</v>
      </c>
      <c r="K695" t="s">
        <v>22</v>
      </c>
      <c r="L695" t="s">
        <v>23</v>
      </c>
      <c r="M695" t="str">
        <f t="shared" si="82"/>
        <v>1</v>
      </c>
      <c r="O695" t="str">
        <f t="shared" si="84"/>
        <v xml:space="preserve">1 </v>
      </c>
      <c r="P695">
        <v>10.45</v>
      </c>
      <c r="Q695" t="s">
        <v>24</v>
      </c>
    </row>
    <row r="696" spans="1:17" x14ac:dyDescent="0.25">
      <c r="A696" t="s">
        <v>17</v>
      </c>
      <c r="B696" s="1">
        <v>41718</v>
      </c>
      <c r="C696" t="s">
        <v>786</v>
      </c>
      <c r="D696" t="str">
        <f>CONCATENATE("0060011347","")</f>
        <v>0060011347</v>
      </c>
      <c r="E696" t="str">
        <f>CONCATENATE("0120546000235       ","")</f>
        <v xml:space="preserve">0120546000235       </v>
      </c>
      <c r="F696" t="str">
        <f>CONCATENATE("01220891","")</f>
        <v>01220891</v>
      </c>
      <c r="G696" t="s">
        <v>1237</v>
      </c>
      <c r="H696" t="s">
        <v>1250</v>
      </c>
      <c r="I696" t="s">
        <v>1239</v>
      </c>
      <c r="J696" t="str">
        <f t="shared" si="83"/>
        <v>081210</v>
      </c>
      <c r="K696" t="s">
        <v>22</v>
      </c>
      <c r="L696" t="s">
        <v>23</v>
      </c>
      <c r="M696" t="str">
        <f t="shared" si="82"/>
        <v>1</v>
      </c>
      <c r="O696" t="str">
        <f t="shared" si="84"/>
        <v xml:space="preserve">1 </v>
      </c>
      <c r="P696">
        <v>18</v>
      </c>
      <c r="Q696" t="s">
        <v>24</v>
      </c>
    </row>
    <row r="697" spans="1:17" x14ac:dyDescent="0.25">
      <c r="A697" t="s">
        <v>17</v>
      </c>
      <c r="B697" s="1">
        <v>41718</v>
      </c>
      <c r="C697" t="s">
        <v>786</v>
      </c>
      <c r="D697" t="str">
        <f>CONCATENATE("0060018365","")</f>
        <v>0060018365</v>
      </c>
      <c r="E697" t="str">
        <f>CONCATENATE("0120546000261       ","")</f>
        <v xml:space="preserve">0120546000261       </v>
      </c>
      <c r="F697" t="str">
        <f>CONCATENATE("0606306420","")</f>
        <v>0606306420</v>
      </c>
      <c r="G697" t="s">
        <v>1237</v>
      </c>
      <c r="H697" t="s">
        <v>1251</v>
      </c>
      <c r="I697" t="s">
        <v>1246</v>
      </c>
      <c r="J697" t="str">
        <f t="shared" si="83"/>
        <v>081210</v>
      </c>
      <c r="K697" t="s">
        <v>22</v>
      </c>
      <c r="L697" t="s">
        <v>23</v>
      </c>
      <c r="M697" t="str">
        <f t="shared" si="82"/>
        <v>1</v>
      </c>
      <c r="O697" t="str">
        <f t="shared" si="84"/>
        <v xml:space="preserve">1 </v>
      </c>
      <c r="P697">
        <v>12.15</v>
      </c>
      <c r="Q697" t="s">
        <v>24</v>
      </c>
    </row>
    <row r="698" spans="1:17" x14ac:dyDescent="0.25">
      <c r="A698" t="s">
        <v>17</v>
      </c>
      <c r="B698" s="1">
        <v>41718</v>
      </c>
      <c r="C698" t="s">
        <v>786</v>
      </c>
      <c r="D698" t="str">
        <f>CONCATENATE("0060018468","")</f>
        <v>0060018468</v>
      </c>
      <c r="E698" t="str">
        <f>CONCATENATE("0120546000265       ","")</f>
        <v xml:space="preserve">0120546000265       </v>
      </c>
      <c r="F698" t="str">
        <f>CONCATENATE("0606306467","")</f>
        <v>0606306467</v>
      </c>
      <c r="G698" t="s">
        <v>1237</v>
      </c>
      <c r="H698" t="s">
        <v>1252</v>
      </c>
      <c r="I698" t="s">
        <v>1248</v>
      </c>
      <c r="J698" t="str">
        <f t="shared" si="83"/>
        <v>081210</v>
      </c>
      <c r="K698" t="s">
        <v>22</v>
      </c>
      <c r="L698" t="s">
        <v>23</v>
      </c>
      <c r="M698" t="str">
        <f t="shared" si="82"/>
        <v>1</v>
      </c>
      <c r="O698" t="str">
        <f t="shared" si="84"/>
        <v xml:space="preserve">1 </v>
      </c>
      <c r="P698">
        <v>15</v>
      </c>
      <c r="Q698" t="s">
        <v>24</v>
      </c>
    </row>
    <row r="699" spans="1:17" x14ac:dyDescent="0.25">
      <c r="A699" t="s">
        <v>17</v>
      </c>
      <c r="B699" s="1">
        <v>41718</v>
      </c>
      <c r="C699" t="s">
        <v>786</v>
      </c>
      <c r="D699" t="str">
        <f>CONCATENATE("0060011336","")</f>
        <v>0060011336</v>
      </c>
      <c r="E699" t="str">
        <f>CONCATENATE("0120546000275       ","")</f>
        <v xml:space="preserve">0120546000275       </v>
      </c>
      <c r="F699" t="str">
        <f>CONCATENATE("12193","")</f>
        <v>12193</v>
      </c>
      <c r="G699" t="s">
        <v>1237</v>
      </c>
      <c r="H699" t="s">
        <v>1253</v>
      </c>
      <c r="I699" t="s">
        <v>1239</v>
      </c>
      <c r="J699" t="str">
        <f t="shared" si="83"/>
        <v>081210</v>
      </c>
      <c r="K699" t="s">
        <v>22</v>
      </c>
      <c r="L699" t="s">
        <v>23</v>
      </c>
      <c r="M699" t="str">
        <f t="shared" si="82"/>
        <v>1</v>
      </c>
      <c r="O699" t="str">
        <f>CONCATENATE("3 ","")</f>
        <v xml:space="preserve">3 </v>
      </c>
      <c r="P699">
        <v>23.3</v>
      </c>
      <c r="Q699" t="s">
        <v>24</v>
      </c>
    </row>
    <row r="700" spans="1:17" x14ac:dyDescent="0.25">
      <c r="A700" t="s">
        <v>17</v>
      </c>
      <c r="B700" s="1">
        <v>41718</v>
      </c>
      <c r="C700" t="s">
        <v>786</v>
      </c>
      <c r="D700" t="str">
        <f>CONCATENATE("0060011292","")</f>
        <v>0060011292</v>
      </c>
      <c r="E700" t="str">
        <f>CONCATENATE("0120546000400       ","")</f>
        <v xml:space="preserve">0120546000400       </v>
      </c>
      <c r="F700" t="str">
        <f>CONCATENATE("1221378","")</f>
        <v>1221378</v>
      </c>
      <c r="G700" t="s">
        <v>1237</v>
      </c>
      <c r="H700" t="s">
        <v>1254</v>
      </c>
      <c r="I700" t="s">
        <v>1239</v>
      </c>
      <c r="J700" t="str">
        <f t="shared" si="83"/>
        <v>081210</v>
      </c>
      <c r="K700" t="s">
        <v>22</v>
      </c>
      <c r="L700" t="s">
        <v>23</v>
      </c>
      <c r="M700" t="str">
        <f t="shared" si="82"/>
        <v>1</v>
      </c>
      <c r="O700" t="str">
        <f>CONCATENATE("2 ","")</f>
        <v xml:space="preserve">2 </v>
      </c>
      <c r="P700">
        <v>15.75</v>
      </c>
      <c r="Q700" t="s">
        <v>24</v>
      </c>
    </row>
    <row r="701" spans="1:17" x14ac:dyDescent="0.25">
      <c r="A701" t="s">
        <v>17</v>
      </c>
      <c r="B701" s="1">
        <v>41718</v>
      </c>
      <c r="C701" t="s">
        <v>786</v>
      </c>
      <c r="D701" t="str">
        <f>CONCATENATE("0060011273","")</f>
        <v>0060011273</v>
      </c>
      <c r="E701" t="str">
        <f>CONCATENATE("0120547000010       ","")</f>
        <v xml:space="preserve">0120547000010       </v>
      </c>
      <c r="F701" t="str">
        <f>CONCATENATE("605085341","")</f>
        <v>605085341</v>
      </c>
      <c r="G701" t="s">
        <v>1244</v>
      </c>
      <c r="H701" t="s">
        <v>1255</v>
      </c>
      <c r="I701" t="s">
        <v>1256</v>
      </c>
      <c r="J701" t="str">
        <f t="shared" si="83"/>
        <v>081210</v>
      </c>
      <c r="K701" t="s">
        <v>22</v>
      </c>
      <c r="L701" t="s">
        <v>23</v>
      </c>
      <c r="M701" t="str">
        <f t="shared" si="82"/>
        <v>1</v>
      </c>
      <c r="O701" t="str">
        <f>CONCATENATE("1 ","")</f>
        <v xml:space="preserve">1 </v>
      </c>
      <c r="P701">
        <v>17.2</v>
      </c>
      <c r="Q701" t="s">
        <v>24</v>
      </c>
    </row>
    <row r="702" spans="1:17" x14ac:dyDescent="0.25">
      <c r="A702" t="s">
        <v>17</v>
      </c>
      <c r="B702" s="1">
        <v>41718</v>
      </c>
      <c r="C702" t="s">
        <v>786</v>
      </c>
      <c r="D702" t="str">
        <f>CONCATENATE("0060011270","")</f>
        <v>0060011270</v>
      </c>
      <c r="E702" t="str">
        <f>CONCATENATE("0120547000030       ","")</f>
        <v xml:space="preserve">0120547000030       </v>
      </c>
      <c r="F702" t="str">
        <f>CONCATENATE("605114758","")</f>
        <v>605114758</v>
      </c>
      <c r="G702" t="s">
        <v>1244</v>
      </c>
      <c r="H702" t="s">
        <v>1257</v>
      </c>
      <c r="I702" t="s">
        <v>1256</v>
      </c>
      <c r="J702" t="str">
        <f t="shared" si="83"/>
        <v>081210</v>
      </c>
      <c r="K702" t="s">
        <v>22</v>
      </c>
      <c r="L702" t="s">
        <v>23</v>
      </c>
      <c r="M702" t="str">
        <f t="shared" si="82"/>
        <v>1</v>
      </c>
      <c r="O702" t="str">
        <f>CONCATENATE("1 ","")</f>
        <v xml:space="preserve">1 </v>
      </c>
      <c r="P702">
        <v>10.45</v>
      </c>
      <c r="Q702" t="s">
        <v>24</v>
      </c>
    </row>
    <row r="703" spans="1:17" x14ac:dyDescent="0.25">
      <c r="A703" t="s">
        <v>17</v>
      </c>
      <c r="B703" s="1">
        <v>41718</v>
      </c>
      <c r="C703" t="s">
        <v>786</v>
      </c>
      <c r="D703" t="str">
        <f>CONCATENATE("0060011426","")</f>
        <v>0060011426</v>
      </c>
      <c r="E703" t="str">
        <f>CONCATENATE("0120547000040       ","")</f>
        <v xml:space="preserve">0120547000040       </v>
      </c>
      <c r="F703" t="str">
        <f>CONCATENATE("605114768","")</f>
        <v>605114768</v>
      </c>
      <c r="G703" t="s">
        <v>1244</v>
      </c>
      <c r="H703" t="s">
        <v>1258</v>
      </c>
      <c r="I703" t="s">
        <v>1259</v>
      </c>
      <c r="J703" t="str">
        <f t="shared" si="83"/>
        <v>081210</v>
      </c>
      <c r="K703" t="s">
        <v>22</v>
      </c>
      <c r="L703" t="s">
        <v>23</v>
      </c>
      <c r="M703" t="str">
        <f t="shared" si="82"/>
        <v>1</v>
      </c>
      <c r="O703" t="str">
        <f>CONCATENATE("5 ","")</f>
        <v xml:space="preserve">5 </v>
      </c>
      <c r="P703">
        <v>135.05000000000001</v>
      </c>
      <c r="Q703" t="s">
        <v>24</v>
      </c>
    </row>
    <row r="704" spans="1:17" x14ac:dyDescent="0.25">
      <c r="A704" t="s">
        <v>17</v>
      </c>
      <c r="B704" s="1">
        <v>41718</v>
      </c>
      <c r="C704" t="s">
        <v>786</v>
      </c>
      <c r="D704" t="str">
        <f>CONCATENATE("0060011274","")</f>
        <v>0060011274</v>
      </c>
      <c r="E704" t="str">
        <f>CONCATENATE("0120547000070       ","")</f>
        <v xml:space="preserve">0120547000070       </v>
      </c>
      <c r="F704" t="str">
        <f>CONCATENATE("605114762","")</f>
        <v>605114762</v>
      </c>
      <c r="G704" t="s">
        <v>1244</v>
      </c>
      <c r="H704" t="s">
        <v>1260</v>
      </c>
      <c r="I704" t="s">
        <v>1256</v>
      </c>
      <c r="J704" t="str">
        <f t="shared" si="83"/>
        <v>081210</v>
      </c>
      <c r="K704" t="s">
        <v>22</v>
      </c>
      <c r="L704" t="s">
        <v>23</v>
      </c>
      <c r="M704" t="str">
        <f t="shared" si="82"/>
        <v>1</v>
      </c>
      <c r="O704" t="str">
        <f>CONCATENATE("1 ","")</f>
        <v xml:space="preserve">1 </v>
      </c>
      <c r="P704">
        <v>10.45</v>
      </c>
      <c r="Q704" t="s">
        <v>24</v>
      </c>
    </row>
    <row r="705" spans="1:17" x14ac:dyDescent="0.25">
      <c r="A705" t="s">
        <v>17</v>
      </c>
      <c r="B705" s="1">
        <v>41718</v>
      </c>
      <c r="C705" t="s">
        <v>786</v>
      </c>
      <c r="D705" t="str">
        <f>CONCATENATE("0060018379","")</f>
        <v>0060018379</v>
      </c>
      <c r="E705" t="str">
        <f>CONCATENATE("0120547000202       ","")</f>
        <v xml:space="preserve">0120547000202       </v>
      </c>
      <c r="F705" t="str">
        <f>CONCATENATE("0606306459","")</f>
        <v>0606306459</v>
      </c>
      <c r="G705" t="s">
        <v>1244</v>
      </c>
      <c r="H705" t="s">
        <v>1261</v>
      </c>
      <c r="I705" t="s">
        <v>1262</v>
      </c>
      <c r="J705" t="str">
        <f t="shared" si="83"/>
        <v>081210</v>
      </c>
      <c r="K705" t="s">
        <v>22</v>
      </c>
      <c r="L705" t="s">
        <v>23</v>
      </c>
      <c r="M705" t="str">
        <f t="shared" si="82"/>
        <v>1</v>
      </c>
      <c r="O705" t="str">
        <f>CONCATENATE("5 ","")</f>
        <v xml:space="preserve">5 </v>
      </c>
      <c r="P705">
        <v>104.6</v>
      </c>
      <c r="Q705" t="s">
        <v>24</v>
      </c>
    </row>
    <row r="706" spans="1:17" x14ac:dyDescent="0.25">
      <c r="A706" t="s">
        <v>17</v>
      </c>
      <c r="B706" s="1">
        <v>41718</v>
      </c>
      <c r="C706" t="s">
        <v>786</v>
      </c>
      <c r="D706" t="str">
        <f>CONCATENATE("0060011267","")</f>
        <v>0060011267</v>
      </c>
      <c r="E706" t="str">
        <f>CONCATENATE("0120547000240       ","")</f>
        <v xml:space="preserve">0120547000240       </v>
      </c>
      <c r="F706" t="str">
        <f>CONCATENATE("1221087","")</f>
        <v>1221087</v>
      </c>
      <c r="G706" t="s">
        <v>1244</v>
      </c>
      <c r="H706" t="s">
        <v>1263</v>
      </c>
      <c r="I706" t="s">
        <v>1264</v>
      </c>
      <c r="J706" t="str">
        <f t="shared" si="83"/>
        <v>081210</v>
      </c>
      <c r="K706" t="s">
        <v>22</v>
      </c>
      <c r="L706" t="s">
        <v>23</v>
      </c>
      <c r="M706" t="str">
        <f t="shared" si="82"/>
        <v>1</v>
      </c>
      <c r="O706" t="str">
        <f>CONCATENATE("2 ","")</f>
        <v xml:space="preserve">2 </v>
      </c>
      <c r="P706">
        <v>25.65</v>
      </c>
      <c r="Q706" t="s">
        <v>24</v>
      </c>
    </row>
    <row r="707" spans="1:17" x14ac:dyDescent="0.25">
      <c r="A707" t="s">
        <v>17</v>
      </c>
      <c r="B707" s="1">
        <v>41718</v>
      </c>
      <c r="C707" t="s">
        <v>786</v>
      </c>
      <c r="D707" t="str">
        <f>CONCATENATE("0060018376","")</f>
        <v>0060018376</v>
      </c>
      <c r="E707" t="str">
        <f>CONCATENATE("0120547000255       ","")</f>
        <v xml:space="preserve">0120547000255       </v>
      </c>
      <c r="F707" t="str">
        <f>CONCATENATE("0606306468","")</f>
        <v>0606306468</v>
      </c>
      <c r="G707" t="s">
        <v>1244</v>
      </c>
      <c r="H707" t="s">
        <v>1265</v>
      </c>
      <c r="I707" t="s">
        <v>1262</v>
      </c>
      <c r="J707" t="str">
        <f t="shared" si="83"/>
        <v>081210</v>
      </c>
      <c r="K707" t="s">
        <v>22</v>
      </c>
      <c r="L707" t="s">
        <v>23</v>
      </c>
      <c r="M707" t="str">
        <f t="shared" si="82"/>
        <v>1</v>
      </c>
      <c r="O707" t="str">
        <f>CONCATENATE("5 ","")</f>
        <v xml:space="preserve">5 </v>
      </c>
      <c r="P707">
        <v>36.4</v>
      </c>
      <c r="Q707" t="s">
        <v>24</v>
      </c>
    </row>
    <row r="708" spans="1:17" x14ac:dyDescent="0.25">
      <c r="A708" t="s">
        <v>17</v>
      </c>
      <c r="B708" s="1">
        <v>41718</v>
      </c>
      <c r="C708" t="s">
        <v>786</v>
      </c>
      <c r="D708" t="str">
        <f>CONCATENATE("0060018448","")</f>
        <v>0060018448</v>
      </c>
      <c r="E708" t="str">
        <f>CONCATENATE("0120548000030       ","")</f>
        <v xml:space="preserve">0120548000030       </v>
      </c>
      <c r="F708" t="str">
        <f>CONCATENATE("0606306494","")</f>
        <v>0606306494</v>
      </c>
      <c r="G708" t="s">
        <v>1266</v>
      </c>
      <c r="H708" t="s">
        <v>1267</v>
      </c>
      <c r="I708" t="s">
        <v>1268</v>
      </c>
      <c r="J708" t="str">
        <f t="shared" si="83"/>
        <v>081210</v>
      </c>
      <c r="K708" t="s">
        <v>22</v>
      </c>
      <c r="L708" t="s">
        <v>23</v>
      </c>
      <c r="M708" t="str">
        <f t="shared" si="82"/>
        <v>1</v>
      </c>
      <c r="O708" t="str">
        <f t="shared" ref="O708:O715" si="85">CONCATENATE("1 ","")</f>
        <v xml:space="preserve">1 </v>
      </c>
      <c r="P708">
        <v>13.6</v>
      </c>
      <c r="Q708" t="s">
        <v>24</v>
      </c>
    </row>
    <row r="709" spans="1:17" x14ac:dyDescent="0.25">
      <c r="A709" t="s">
        <v>17</v>
      </c>
      <c r="B709" s="1">
        <v>41718</v>
      </c>
      <c r="C709" t="s">
        <v>786</v>
      </c>
      <c r="D709" t="str">
        <f>CONCATENATE("0060018454","")</f>
        <v>0060018454</v>
      </c>
      <c r="E709" t="str">
        <f>CONCATENATE("0120548000040       ","")</f>
        <v xml:space="preserve">0120548000040       </v>
      </c>
      <c r="F709" t="str">
        <f>CONCATENATE("0606306491","")</f>
        <v>0606306491</v>
      </c>
      <c r="G709" t="s">
        <v>1266</v>
      </c>
      <c r="H709" t="s">
        <v>1269</v>
      </c>
      <c r="I709" t="s">
        <v>1248</v>
      </c>
      <c r="J709" t="str">
        <f t="shared" si="83"/>
        <v>081210</v>
      </c>
      <c r="K709" t="s">
        <v>22</v>
      </c>
      <c r="L709" t="s">
        <v>23</v>
      </c>
      <c r="M709" t="str">
        <f t="shared" si="82"/>
        <v>1</v>
      </c>
      <c r="O709" t="str">
        <f t="shared" si="85"/>
        <v xml:space="preserve">1 </v>
      </c>
      <c r="P709">
        <v>20.95</v>
      </c>
      <c r="Q709" t="s">
        <v>24</v>
      </c>
    </row>
    <row r="710" spans="1:17" x14ac:dyDescent="0.25">
      <c r="A710" t="s">
        <v>17</v>
      </c>
      <c r="B710" s="1">
        <v>41718</v>
      </c>
      <c r="C710" t="s">
        <v>786</v>
      </c>
      <c r="D710" t="str">
        <f>CONCATENATE("0060011368","")</f>
        <v>0060011368</v>
      </c>
      <c r="E710" t="str">
        <f>CONCATENATE("0120548000065       ","")</f>
        <v xml:space="preserve">0120548000065       </v>
      </c>
      <c r="F710" t="str">
        <f>CONCATENATE("01221043","")</f>
        <v>01221043</v>
      </c>
      <c r="G710" t="s">
        <v>1266</v>
      </c>
      <c r="H710" t="s">
        <v>1270</v>
      </c>
      <c r="I710" t="s">
        <v>1271</v>
      </c>
      <c r="J710" t="str">
        <f t="shared" si="83"/>
        <v>081210</v>
      </c>
      <c r="K710" t="s">
        <v>22</v>
      </c>
      <c r="L710" t="s">
        <v>23</v>
      </c>
      <c r="M710" t="str">
        <f t="shared" si="82"/>
        <v>1</v>
      </c>
      <c r="O710" t="str">
        <f t="shared" si="85"/>
        <v xml:space="preserve">1 </v>
      </c>
      <c r="P710">
        <v>10.5</v>
      </c>
      <c r="Q710" t="s">
        <v>24</v>
      </c>
    </row>
    <row r="711" spans="1:17" x14ac:dyDescent="0.25">
      <c r="A711" t="s">
        <v>17</v>
      </c>
      <c r="B711" s="1">
        <v>41718</v>
      </c>
      <c r="C711" t="s">
        <v>786</v>
      </c>
      <c r="D711" t="str">
        <f>CONCATENATE("0060018360","")</f>
        <v>0060018360</v>
      </c>
      <c r="E711" t="str">
        <f>CONCATENATE("0120548000170       ","")</f>
        <v xml:space="preserve">0120548000170       </v>
      </c>
      <c r="F711" t="str">
        <f>CONCATENATE("0606306450","")</f>
        <v>0606306450</v>
      </c>
      <c r="G711" t="s">
        <v>1266</v>
      </c>
      <c r="H711" t="s">
        <v>1272</v>
      </c>
      <c r="I711" t="s">
        <v>1246</v>
      </c>
      <c r="J711" t="str">
        <f t="shared" si="83"/>
        <v>081210</v>
      </c>
      <c r="K711" t="s">
        <v>22</v>
      </c>
      <c r="L711" t="s">
        <v>23</v>
      </c>
      <c r="M711" t="str">
        <f t="shared" si="82"/>
        <v>1</v>
      </c>
      <c r="O711" t="str">
        <f t="shared" si="85"/>
        <v xml:space="preserve">1 </v>
      </c>
      <c r="P711">
        <v>18.75</v>
      </c>
      <c r="Q711" t="s">
        <v>24</v>
      </c>
    </row>
    <row r="712" spans="1:17" x14ac:dyDescent="0.25">
      <c r="A712" t="s">
        <v>17</v>
      </c>
      <c r="B712" s="1">
        <v>41718</v>
      </c>
      <c r="C712" t="s">
        <v>786</v>
      </c>
      <c r="D712" t="str">
        <f>CONCATENATE("0060018449","")</f>
        <v>0060018449</v>
      </c>
      <c r="E712" t="str">
        <f>CONCATENATE("0120548000225       ","")</f>
        <v xml:space="preserve">0120548000225       </v>
      </c>
      <c r="F712" t="str">
        <f>CONCATENATE("0606306506","")</f>
        <v>0606306506</v>
      </c>
      <c r="G712" t="s">
        <v>1266</v>
      </c>
      <c r="H712" t="s">
        <v>1273</v>
      </c>
      <c r="I712" t="s">
        <v>1268</v>
      </c>
      <c r="J712" t="str">
        <f t="shared" si="83"/>
        <v>081210</v>
      </c>
      <c r="K712" t="s">
        <v>22</v>
      </c>
      <c r="L712" t="s">
        <v>23</v>
      </c>
      <c r="M712" t="str">
        <f t="shared" si="82"/>
        <v>1</v>
      </c>
      <c r="O712" t="str">
        <f t="shared" si="85"/>
        <v xml:space="preserve">1 </v>
      </c>
      <c r="P712">
        <v>88.05</v>
      </c>
      <c r="Q712" t="s">
        <v>24</v>
      </c>
    </row>
    <row r="713" spans="1:17" x14ac:dyDescent="0.25">
      <c r="A713" t="s">
        <v>17</v>
      </c>
      <c r="B713" s="1">
        <v>41718</v>
      </c>
      <c r="C713" t="s">
        <v>786</v>
      </c>
      <c r="D713" t="str">
        <f>CONCATENATE("0060012051","")</f>
        <v>0060012051</v>
      </c>
      <c r="E713" t="str">
        <f>CONCATENATE("0120548000230       ","")</f>
        <v xml:space="preserve">0120548000230       </v>
      </c>
      <c r="F713" t="str">
        <f>CONCATENATE("605116659","")</f>
        <v>605116659</v>
      </c>
      <c r="G713" t="s">
        <v>1266</v>
      </c>
      <c r="H713" t="s">
        <v>1274</v>
      </c>
      <c r="I713" t="s">
        <v>1275</v>
      </c>
      <c r="J713" t="str">
        <f t="shared" si="83"/>
        <v>081210</v>
      </c>
      <c r="K713" t="s">
        <v>22</v>
      </c>
      <c r="L713" t="s">
        <v>23</v>
      </c>
      <c r="M713" t="str">
        <f t="shared" si="82"/>
        <v>1</v>
      </c>
      <c r="O713" t="str">
        <f t="shared" si="85"/>
        <v xml:space="preserve">1 </v>
      </c>
      <c r="P713">
        <v>17.899999999999999</v>
      </c>
      <c r="Q713" t="s">
        <v>24</v>
      </c>
    </row>
    <row r="714" spans="1:17" x14ac:dyDescent="0.25">
      <c r="A714" t="s">
        <v>17</v>
      </c>
      <c r="B714" s="1">
        <v>41718</v>
      </c>
      <c r="C714" t="s">
        <v>786</v>
      </c>
      <c r="D714" t="str">
        <f>CONCATENATE("0060018438","")</f>
        <v>0060018438</v>
      </c>
      <c r="E714" t="str">
        <f>CONCATENATE("0120548000250       ","")</f>
        <v xml:space="preserve">0120548000250       </v>
      </c>
      <c r="F714" t="str">
        <f>CONCATENATE("0606306427","")</f>
        <v>0606306427</v>
      </c>
      <c r="G714" t="s">
        <v>1266</v>
      </c>
      <c r="H714" t="s">
        <v>1276</v>
      </c>
      <c r="I714" t="s">
        <v>1268</v>
      </c>
      <c r="J714" t="str">
        <f t="shared" si="83"/>
        <v>081210</v>
      </c>
      <c r="K714" t="s">
        <v>22</v>
      </c>
      <c r="L714" t="s">
        <v>23</v>
      </c>
      <c r="M714" t="str">
        <f t="shared" si="82"/>
        <v>1</v>
      </c>
      <c r="O714" t="str">
        <f t="shared" si="85"/>
        <v xml:space="preserve">1 </v>
      </c>
      <c r="P714">
        <v>18.75</v>
      </c>
      <c r="Q714" t="s">
        <v>24</v>
      </c>
    </row>
    <row r="715" spans="1:17" x14ac:dyDescent="0.25">
      <c r="A715" t="s">
        <v>17</v>
      </c>
      <c r="B715" s="1">
        <v>41718</v>
      </c>
      <c r="C715" t="s">
        <v>786</v>
      </c>
      <c r="D715" t="str">
        <f>CONCATENATE("0060011357","")</f>
        <v>0060011357</v>
      </c>
      <c r="E715" t="str">
        <f>CONCATENATE("0120548000320       ","")</f>
        <v xml:space="preserve">0120548000320       </v>
      </c>
      <c r="F715" t="str">
        <f>CONCATENATE("01221031","")</f>
        <v>01221031</v>
      </c>
      <c r="G715" t="s">
        <v>1266</v>
      </c>
      <c r="H715" t="s">
        <v>1277</v>
      </c>
      <c r="I715" t="s">
        <v>1271</v>
      </c>
      <c r="J715" t="str">
        <f t="shared" si="83"/>
        <v>081210</v>
      </c>
      <c r="K715" t="s">
        <v>22</v>
      </c>
      <c r="L715" t="s">
        <v>23</v>
      </c>
      <c r="M715" t="str">
        <f t="shared" si="82"/>
        <v>1</v>
      </c>
      <c r="O715" t="str">
        <f t="shared" si="85"/>
        <v xml:space="preserve">1 </v>
      </c>
      <c r="P715">
        <v>18.600000000000001</v>
      </c>
      <c r="Q715" t="s">
        <v>24</v>
      </c>
    </row>
    <row r="716" spans="1:17" x14ac:dyDescent="0.25">
      <c r="A716" t="s">
        <v>17</v>
      </c>
      <c r="B716" s="1">
        <v>41718</v>
      </c>
      <c r="C716" t="s">
        <v>786</v>
      </c>
      <c r="D716" t="str">
        <f>CONCATENATE("0060011369","")</f>
        <v>0060011369</v>
      </c>
      <c r="E716" t="str">
        <f>CONCATENATE("0120548000425       ","")</f>
        <v xml:space="preserve">0120548000425       </v>
      </c>
      <c r="F716" t="str">
        <f>CONCATENATE("01116824","")</f>
        <v>01116824</v>
      </c>
      <c r="G716" t="s">
        <v>1266</v>
      </c>
      <c r="H716" t="s">
        <v>1278</v>
      </c>
      <c r="I716" t="s">
        <v>1279</v>
      </c>
      <c r="J716" t="str">
        <f t="shared" si="83"/>
        <v>081210</v>
      </c>
      <c r="K716" t="s">
        <v>22</v>
      </c>
      <c r="L716" t="s">
        <v>23</v>
      </c>
      <c r="M716" t="str">
        <f t="shared" si="82"/>
        <v>1</v>
      </c>
      <c r="O716" t="str">
        <f>CONCATENATE("6 ","")</f>
        <v xml:space="preserve">6 </v>
      </c>
      <c r="P716">
        <v>36.4</v>
      </c>
      <c r="Q716" t="s">
        <v>24</v>
      </c>
    </row>
    <row r="717" spans="1:17" x14ac:dyDescent="0.25">
      <c r="A717" t="s">
        <v>17</v>
      </c>
      <c r="B717" s="1">
        <v>41718</v>
      </c>
      <c r="C717" t="s">
        <v>786</v>
      </c>
      <c r="D717" t="str">
        <f>CONCATENATE("0060011375","")</f>
        <v>0060011375</v>
      </c>
      <c r="E717" t="str">
        <f>CONCATENATE("0120548000430       ","")</f>
        <v xml:space="preserve">0120548000430       </v>
      </c>
      <c r="F717" t="str">
        <f>CONCATENATE("01116821","")</f>
        <v>01116821</v>
      </c>
      <c r="G717" t="s">
        <v>1266</v>
      </c>
      <c r="H717" t="s">
        <v>1280</v>
      </c>
      <c r="I717" t="s">
        <v>1279</v>
      </c>
      <c r="J717" t="str">
        <f t="shared" si="83"/>
        <v>081210</v>
      </c>
      <c r="K717" t="s">
        <v>22</v>
      </c>
      <c r="L717" t="s">
        <v>23</v>
      </c>
      <c r="M717" t="str">
        <f t="shared" si="82"/>
        <v>1</v>
      </c>
      <c r="O717" t="str">
        <f t="shared" ref="O717:O724" si="86">CONCATENATE("1 ","")</f>
        <v xml:space="preserve">1 </v>
      </c>
      <c r="P717">
        <v>17.899999999999999</v>
      </c>
      <c r="Q717" t="s">
        <v>24</v>
      </c>
    </row>
    <row r="718" spans="1:17" x14ac:dyDescent="0.25">
      <c r="A718" t="s">
        <v>17</v>
      </c>
      <c r="B718" s="1">
        <v>41718</v>
      </c>
      <c r="C718" t="s">
        <v>786</v>
      </c>
      <c r="D718" t="str">
        <f>CONCATENATE("0060011327","")</f>
        <v>0060011327</v>
      </c>
      <c r="E718" t="str">
        <f>CONCATENATE("0120549000055       ","")</f>
        <v xml:space="preserve">0120549000055       </v>
      </c>
      <c r="F718" t="str">
        <f>CONCATENATE("605115208","")</f>
        <v>605115208</v>
      </c>
      <c r="G718" t="s">
        <v>1281</v>
      </c>
      <c r="H718" t="s">
        <v>1282</v>
      </c>
      <c r="I718" t="s">
        <v>1283</v>
      </c>
      <c r="J718" t="str">
        <f t="shared" si="83"/>
        <v>081210</v>
      </c>
      <c r="K718" t="s">
        <v>22</v>
      </c>
      <c r="L718" t="s">
        <v>23</v>
      </c>
      <c r="M718" t="str">
        <f t="shared" si="82"/>
        <v>1</v>
      </c>
      <c r="O718" t="str">
        <f t="shared" si="86"/>
        <v xml:space="preserve">1 </v>
      </c>
      <c r="P718">
        <v>15.35</v>
      </c>
      <c r="Q718" t="s">
        <v>24</v>
      </c>
    </row>
    <row r="719" spans="1:17" x14ac:dyDescent="0.25">
      <c r="A719" t="s">
        <v>17</v>
      </c>
      <c r="B719" s="1">
        <v>41718</v>
      </c>
      <c r="C719" t="s">
        <v>786</v>
      </c>
      <c r="D719" t="str">
        <f>CONCATENATE("0060011326","")</f>
        <v>0060011326</v>
      </c>
      <c r="E719" t="str">
        <f>CONCATENATE("0120549000065       ","")</f>
        <v xml:space="preserve">0120549000065       </v>
      </c>
      <c r="F719" t="str">
        <f>CONCATENATE("605116656","")</f>
        <v>605116656</v>
      </c>
      <c r="G719" t="s">
        <v>1281</v>
      </c>
      <c r="H719" t="s">
        <v>1284</v>
      </c>
      <c r="I719" t="s">
        <v>1283</v>
      </c>
      <c r="J719" t="str">
        <f t="shared" si="83"/>
        <v>081210</v>
      </c>
      <c r="K719" t="s">
        <v>22</v>
      </c>
      <c r="L719" t="s">
        <v>23</v>
      </c>
      <c r="M719" t="str">
        <f t="shared" si="82"/>
        <v>1</v>
      </c>
      <c r="O719" t="str">
        <f t="shared" si="86"/>
        <v xml:space="preserve">1 </v>
      </c>
      <c r="P719">
        <v>16.3</v>
      </c>
      <c r="Q719" t="s">
        <v>24</v>
      </c>
    </row>
    <row r="720" spans="1:17" x14ac:dyDescent="0.25">
      <c r="A720" t="s">
        <v>17</v>
      </c>
      <c r="B720" s="1">
        <v>41718</v>
      </c>
      <c r="C720" t="s">
        <v>786</v>
      </c>
      <c r="D720" t="str">
        <f>CONCATENATE("0060015159","")</f>
        <v>0060015159</v>
      </c>
      <c r="E720" t="str">
        <f>CONCATENATE("0120549000070       ","")</f>
        <v xml:space="preserve">0120549000070       </v>
      </c>
      <c r="F720" t="str">
        <f>CONCATENATE("605941524","")</f>
        <v>605941524</v>
      </c>
      <c r="G720" t="s">
        <v>1281</v>
      </c>
      <c r="H720" t="s">
        <v>1285</v>
      </c>
      <c r="I720" t="s">
        <v>1286</v>
      </c>
      <c r="J720" t="str">
        <f t="shared" ref="J720:J745" si="87">CONCATENATE("081210","")</f>
        <v>081210</v>
      </c>
      <c r="K720" t="s">
        <v>22</v>
      </c>
      <c r="L720" t="s">
        <v>23</v>
      </c>
      <c r="M720" t="str">
        <f t="shared" si="82"/>
        <v>1</v>
      </c>
      <c r="O720" t="str">
        <f t="shared" si="86"/>
        <v xml:space="preserve">1 </v>
      </c>
      <c r="P720">
        <v>10.55</v>
      </c>
      <c r="Q720" t="s">
        <v>24</v>
      </c>
    </row>
    <row r="721" spans="1:17" x14ac:dyDescent="0.25">
      <c r="A721" t="s">
        <v>17</v>
      </c>
      <c r="B721" s="1">
        <v>41718</v>
      </c>
      <c r="C721" t="s">
        <v>786</v>
      </c>
      <c r="D721" t="str">
        <f>CONCATENATE("0060011319","")</f>
        <v>0060011319</v>
      </c>
      <c r="E721" t="str">
        <f>CONCATENATE("0120549000125       ","")</f>
        <v xml:space="preserve">0120549000125       </v>
      </c>
      <c r="F721" t="str">
        <f>CONCATENATE("01219412","")</f>
        <v>01219412</v>
      </c>
      <c r="G721" t="s">
        <v>1281</v>
      </c>
      <c r="H721" t="s">
        <v>1287</v>
      </c>
      <c r="I721" t="s">
        <v>1283</v>
      </c>
      <c r="J721" t="str">
        <f t="shared" si="87"/>
        <v>081210</v>
      </c>
      <c r="K721" t="s">
        <v>22</v>
      </c>
      <c r="L721" t="s">
        <v>23</v>
      </c>
      <c r="M721" t="str">
        <f t="shared" si="82"/>
        <v>1</v>
      </c>
      <c r="O721" t="str">
        <f t="shared" si="86"/>
        <v xml:space="preserve">1 </v>
      </c>
      <c r="P721">
        <v>16</v>
      </c>
      <c r="Q721" t="s">
        <v>24</v>
      </c>
    </row>
    <row r="722" spans="1:17" x14ac:dyDescent="0.25">
      <c r="A722" t="s">
        <v>17</v>
      </c>
      <c r="B722" s="1">
        <v>41718</v>
      </c>
      <c r="C722" t="s">
        <v>786</v>
      </c>
      <c r="D722" t="str">
        <f>CONCATENATE("0060011309","")</f>
        <v>0060011309</v>
      </c>
      <c r="E722" t="str">
        <f>CONCATENATE("0120549000185       ","")</f>
        <v xml:space="preserve">0120549000185       </v>
      </c>
      <c r="F722" t="str">
        <f>CONCATENATE("605115220","")</f>
        <v>605115220</v>
      </c>
      <c r="G722" t="s">
        <v>1281</v>
      </c>
      <c r="H722" t="s">
        <v>1288</v>
      </c>
      <c r="I722" t="s">
        <v>1283</v>
      </c>
      <c r="J722" t="str">
        <f t="shared" si="87"/>
        <v>081210</v>
      </c>
      <c r="K722" t="s">
        <v>22</v>
      </c>
      <c r="L722" t="s">
        <v>23</v>
      </c>
      <c r="M722" t="str">
        <f t="shared" si="82"/>
        <v>1</v>
      </c>
      <c r="O722" t="str">
        <f t="shared" si="86"/>
        <v xml:space="preserve">1 </v>
      </c>
      <c r="P722">
        <v>21.9</v>
      </c>
      <c r="Q722" t="s">
        <v>24</v>
      </c>
    </row>
    <row r="723" spans="1:17" x14ac:dyDescent="0.25">
      <c r="A723" t="s">
        <v>17</v>
      </c>
      <c r="B723" s="1">
        <v>41718</v>
      </c>
      <c r="C723" t="s">
        <v>786</v>
      </c>
      <c r="D723" t="str">
        <f>CONCATENATE("0060015180","")</f>
        <v>0060015180</v>
      </c>
      <c r="E723" t="str">
        <f>CONCATENATE("0120549000202       ","")</f>
        <v xml:space="preserve">0120549000202       </v>
      </c>
      <c r="F723" t="str">
        <f>CONCATENATE("605941529","")</f>
        <v>605941529</v>
      </c>
      <c r="G723" t="s">
        <v>1281</v>
      </c>
      <c r="H723" t="s">
        <v>1289</v>
      </c>
      <c r="I723" t="s">
        <v>1290</v>
      </c>
      <c r="J723" t="str">
        <f t="shared" si="87"/>
        <v>081210</v>
      </c>
      <c r="K723" t="s">
        <v>22</v>
      </c>
      <c r="L723" t="s">
        <v>23</v>
      </c>
      <c r="M723" t="str">
        <f t="shared" si="82"/>
        <v>1</v>
      </c>
      <c r="O723" t="str">
        <f t="shared" si="86"/>
        <v xml:space="preserve">1 </v>
      </c>
      <c r="P723">
        <v>16.05</v>
      </c>
      <c r="Q723" t="s">
        <v>24</v>
      </c>
    </row>
    <row r="724" spans="1:17" x14ac:dyDescent="0.25">
      <c r="A724" t="s">
        <v>17</v>
      </c>
      <c r="B724" s="1">
        <v>41718</v>
      </c>
      <c r="C724" t="s">
        <v>786</v>
      </c>
      <c r="D724" t="str">
        <f>CONCATENATE("0060011307","")</f>
        <v>0060011307</v>
      </c>
      <c r="E724" t="str">
        <f>CONCATENATE("0120549000205       ","")</f>
        <v xml:space="preserve">0120549000205       </v>
      </c>
      <c r="F724" t="str">
        <f>CONCATENATE("605115223","")</f>
        <v>605115223</v>
      </c>
      <c r="G724" t="s">
        <v>1281</v>
      </c>
      <c r="H724" t="s">
        <v>1291</v>
      </c>
      <c r="I724" t="s">
        <v>1283</v>
      </c>
      <c r="J724" t="str">
        <f t="shared" si="87"/>
        <v>081210</v>
      </c>
      <c r="K724" t="s">
        <v>22</v>
      </c>
      <c r="L724" t="s">
        <v>23</v>
      </c>
      <c r="M724" t="str">
        <f t="shared" si="82"/>
        <v>1</v>
      </c>
      <c r="O724" t="str">
        <f t="shared" si="86"/>
        <v xml:space="preserve">1 </v>
      </c>
      <c r="P724">
        <v>24.85</v>
      </c>
      <c r="Q724" t="s">
        <v>24</v>
      </c>
    </row>
    <row r="725" spans="1:17" x14ac:dyDescent="0.25">
      <c r="A725" t="s">
        <v>17</v>
      </c>
      <c r="B725" s="1">
        <v>41718</v>
      </c>
      <c r="C725" t="s">
        <v>786</v>
      </c>
      <c r="D725" t="str">
        <f>CONCATENATE("0060011390","")</f>
        <v>0060011390</v>
      </c>
      <c r="E725" t="str">
        <f>CONCATENATE("0120549000275       ","")</f>
        <v xml:space="preserve">0120549000275       </v>
      </c>
      <c r="F725" t="str">
        <f>CONCATENATE("605116652","")</f>
        <v>605116652</v>
      </c>
      <c r="G725" t="s">
        <v>1281</v>
      </c>
      <c r="H725" t="s">
        <v>1292</v>
      </c>
      <c r="I725" t="s">
        <v>1283</v>
      </c>
      <c r="J725" t="str">
        <f t="shared" si="87"/>
        <v>081210</v>
      </c>
      <c r="K725" t="s">
        <v>22</v>
      </c>
      <c r="L725" t="s">
        <v>23</v>
      </c>
      <c r="M725" t="str">
        <f t="shared" si="82"/>
        <v>1</v>
      </c>
      <c r="O725" t="str">
        <f>CONCATENATE("6 ","")</f>
        <v xml:space="preserve">6 </v>
      </c>
      <c r="P725">
        <v>54.3</v>
      </c>
      <c r="Q725" t="s">
        <v>24</v>
      </c>
    </row>
    <row r="726" spans="1:17" x14ac:dyDescent="0.25">
      <c r="A726" t="s">
        <v>17</v>
      </c>
      <c r="B726" s="1">
        <v>41718</v>
      </c>
      <c r="C726" t="s">
        <v>786</v>
      </c>
      <c r="D726" t="str">
        <f>CONCATENATE("0060011386","")</f>
        <v>0060011386</v>
      </c>
      <c r="E726" t="str">
        <f>CONCATENATE("0120549000335       ","")</f>
        <v xml:space="preserve">0120549000335       </v>
      </c>
      <c r="F726" t="str">
        <f>CONCATENATE("605084803","")</f>
        <v>605084803</v>
      </c>
      <c r="G726" t="s">
        <v>1281</v>
      </c>
      <c r="H726" t="s">
        <v>1293</v>
      </c>
      <c r="I726" t="s">
        <v>1283</v>
      </c>
      <c r="J726" t="str">
        <f t="shared" si="87"/>
        <v>081210</v>
      </c>
      <c r="K726" t="s">
        <v>22</v>
      </c>
      <c r="L726" t="s">
        <v>23</v>
      </c>
      <c r="M726" t="str">
        <f t="shared" si="82"/>
        <v>1</v>
      </c>
      <c r="O726" t="str">
        <f>CONCATENATE("2 ","")</f>
        <v xml:space="preserve">2 </v>
      </c>
      <c r="P726">
        <v>32.950000000000003</v>
      </c>
      <c r="Q726" t="s">
        <v>24</v>
      </c>
    </row>
    <row r="727" spans="1:17" x14ac:dyDescent="0.25">
      <c r="A727" t="s">
        <v>17</v>
      </c>
      <c r="B727" s="1">
        <v>41718</v>
      </c>
      <c r="C727" t="s">
        <v>786</v>
      </c>
      <c r="D727" t="str">
        <f>CONCATENATE("0060015169","")</f>
        <v>0060015169</v>
      </c>
      <c r="E727" t="str">
        <f>CONCATENATE("0120549000357       ","")</f>
        <v xml:space="preserve">0120549000357       </v>
      </c>
      <c r="F727" t="str">
        <f>CONCATENATE("605941544","")</f>
        <v>605941544</v>
      </c>
      <c r="G727" t="s">
        <v>1281</v>
      </c>
      <c r="H727" t="s">
        <v>1294</v>
      </c>
      <c r="I727" t="s">
        <v>1286</v>
      </c>
      <c r="J727" t="str">
        <f t="shared" si="87"/>
        <v>081210</v>
      </c>
      <c r="K727" t="s">
        <v>22</v>
      </c>
      <c r="L727" t="s">
        <v>23</v>
      </c>
      <c r="M727" t="str">
        <f t="shared" si="82"/>
        <v>1</v>
      </c>
      <c r="O727" t="str">
        <f>CONCATENATE("1 ","")</f>
        <v xml:space="preserve">1 </v>
      </c>
      <c r="P727">
        <v>21.35</v>
      </c>
      <c r="Q727" t="s">
        <v>24</v>
      </c>
    </row>
    <row r="728" spans="1:17" x14ac:dyDescent="0.25">
      <c r="A728" t="s">
        <v>17</v>
      </c>
      <c r="B728" s="1">
        <v>41718</v>
      </c>
      <c r="C728" t="s">
        <v>786</v>
      </c>
      <c r="D728" t="str">
        <f>CONCATENATE("0060015183","")</f>
        <v>0060015183</v>
      </c>
      <c r="E728" t="str">
        <f>CONCATENATE("0120549000358       ","")</f>
        <v xml:space="preserve">0120549000358       </v>
      </c>
      <c r="F728" t="str">
        <f>CONCATENATE("605942459","")</f>
        <v>605942459</v>
      </c>
      <c r="G728" t="s">
        <v>1281</v>
      </c>
      <c r="H728" t="s">
        <v>1295</v>
      </c>
      <c r="I728" t="s">
        <v>1296</v>
      </c>
      <c r="J728" t="str">
        <f t="shared" si="87"/>
        <v>081210</v>
      </c>
      <c r="K728" t="s">
        <v>22</v>
      </c>
      <c r="L728" t="s">
        <v>23</v>
      </c>
      <c r="M728" t="str">
        <f t="shared" si="82"/>
        <v>1</v>
      </c>
      <c r="O728" t="str">
        <f>CONCATENATE("1 ","")</f>
        <v xml:space="preserve">1 </v>
      </c>
      <c r="P728">
        <v>17.25</v>
      </c>
      <c r="Q728" t="s">
        <v>24</v>
      </c>
    </row>
    <row r="729" spans="1:17" x14ac:dyDescent="0.25">
      <c r="A729" t="s">
        <v>17</v>
      </c>
      <c r="B729" s="1">
        <v>41718</v>
      </c>
      <c r="C729" t="s">
        <v>786</v>
      </c>
      <c r="D729" t="str">
        <f>CONCATENATE("0060011385","")</f>
        <v>0060011385</v>
      </c>
      <c r="E729" t="str">
        <f>CONCATENATE("0120549000365       ","")</f>
        <v xml:space="preserve">0120549000365       </v>
      </c>
      <c r="F729" t="str">
        <f>CONCATENATE("606601920","")</f>
        <v>606601920</v>
      </c>
      <c r="G729" t="s">
        <v>1281</v>
      </c>
      <c r="H729" t="s">
        <v>1297</v>
      </c>
      <c r="I729" t="s">
        <v>1283</v>
      </c>
      <c r="J729" t="str">
        <f t="shared" si="87"/>
        <v>081210</v>
      </c>
      <c r="K729" t="s">
        <v>22</v>
      </c>
      <c r="L729" t="s">
        <v>23</v>
      </c>
      <c r="M729" t="str">
        <f t="shared" si="82"/>
        <v>1</v>
      </c>
      <c r="O729" t="str">
        <f>CONCATENATE("2 ","")</f>
        <v xml:space="preserve">2 </v>
      </c>
      <c r="P729">
        <v>26.1</v>
      </c>
      <c r="Q729" t="s">
        <v>24</v>
      </c>
    </row>
    <row r="730" spans="1:17" x14ac:dyDescent="0.25">
      <c r="A730" t="s">
        <v>17</v>
      </c>
      <c r="B730" s="1">
        <v>41718</v>
      </c>
      <c r="C730" t="s">
        <v>786</v>
      </c>
      <c r="D730" t="str">
        <f>CONCATENATE("0060011396","")</f>
        <v>0060011396</v>
      </c>
      <c r="E730" t="str">
        <f>CONCATENATE("0120549000405       ","")</f>
        <v xml:space="preserve">0120549000405       </v>
      </c>
      <c r="F730" t="str">
        <f>CONCATENATE("605116647","")</f>
        <v>605116647</v>
      </c>
      <c r="G730" t="s">
        <v>1281</v>
      </c>
      <c r="H730" t="s">
        <v>1298</v>
      </c>
      <c r="I730" t="s">
        <v>1283</v>
      </c>
      <c r="J730" t="str">
        <f t="shared" si="87"/>
        <v>081210</v>
      </c>
      <c r="K730" t="s">
        <v>22</v>
      </c>
      <c r="L730" t="s">
        <v>23</v>
      </c>
      <c r="M730" t="str">
        <f t="shared" si="82"/>
        <v>1</v>
      </c>
      <c r="O730" t="str">
        <f>CONCATENATE("2 ","")</f>
        <v xml:space="preserve">2 </v>
      </c>
      <c r="P730">
        <v>21</v>
      </c>
      <c r="Q730" t="s">
        <v>24</v>
      </c>
    </row>
    <row r="731" spans="1:17" x14ac:dyDescent="0.25">
      <c r="A731" t="s">
        <v>17</v>
      </c>
      <c r="B731" s="1">
        <v>41718</v>
      </c>
      <c r="C731" t="s">
        <v>786</v>
      </c>
      <c r="D731" t="str">
        <f>CONCATENATE("0060015160","")</f>
        <v>0060015160</v>
      </c>
      <c r="E731" t="str">
        <f>CONCATENATE("0120549000810       ","")</f>
        <v xml:space="preserve">0120549000810       </v>
      </c>
      <c r="F731" t="str">
        <f>CONCATENATE("605942468","")</f>
        <v>605942468</v>
      </c>
      <c r="G731" t="s">
        <v>1281</v>
      </c>
      <c r="H731" t="s">
        <v>1299</v>
      </c>
      <c r="I731" t="s">
        <v>1300</v>
      </c>
      <c r="J731" t="str">
        <f t="shared" si="87"/>
        <v>081210</v>
      </c>
      <c r="K731" t="s">
        <v>22</v>
      </c>
      <c r="L731" t="s">
        <v>23</v>
      </c>
      <c r="M731" t="str">
        <f t="shared" si="82"/>
        <v>1</v>
      </c>
      <c r="O731" t="str">
        <f>CONCATENATE("1 ","")</f>
        <v xml:space="preserve">1 </v>
      </c>
      <c r="P731">
        <v>14.1</v>
      </c>
      <c r="Q731" t="s">
        <v>24</v>
      </c>
    </row>
    <row r="732" spans="1:17" x14ac:dyDescent="0.25">
      <c r="A732" t="s">
        <v>17</v>
      </c>
      <c r="B732" s="1">
        <v>41718</v>
      </c>
      <c r="C732" t="s">
        <v>786</v>
      </c>
      <c r="D732" t="str">
        <f>CONCATENATE("0060015166","")</f>
        <v>0060015166</v>
      </c>
      <c r="E732" t="str">
        <f>CONCATENATE("0120549000960       ","")</f>
        <v xml:space="preserve">0120549000960       </v>
      </c>
      <c r="F732" t="str">
        <f>CONCATENATE("605941534","")</f>
        <v>605941534</v>
      </c>
      <c r="G732" t="s">
        <v>1281</v>
      </c>
      <c r="H732" t="s">
        <v>1301</v>
      </c>
      <c r="I732" t="s">
        <v>1286</v>
      </c>
      <c r="J732" t="str">
        <f t="shared" si="87"/>
        <v>081210</v>
      </c>
      <c r="K732" t="s">
        <v>22</v>
      </c>
      <c r="L732" t="s">
        <v>23</v>
      </c>
      <c r="M732" t="str">
        <f t="shared" si="82"/>
        <v>1</v>
      </c>
      <c r="O732" t="str">
        <f>CONCATENATE("1 ","")</f>
        <v xml:space="preserve">1 </v>
      </c>
      <c r="P732">
        <v>18.7</v>
      </c>
      <c r="Q732" t="s">
        <v>24</v>
      </c>
    </row>
    <row r="733" spans="1:17" x14ac:dyDescent="0.25">
      <c r="A733" t="s">
        <v>17</v>
      </c>
      <c r="B733" s="1">
        <v>41718</v>
      </c>
      <c r="C733" t="s">
        <v>786</v>
      </c>
      <c r="D733" t="str">
        <f>CONCATENATE("0060013411","")</f>
        <v>0060013411</v>
      </c>
      <c r="E733" t="str">
        <f>CONCATENATE("0120550000030       ","")</f>
        <v xml:space="preserve">0120550000030       </v>
      </c>
      <c r="F733" t="str">
        <f>CONCATENATE("605285410","")</f>
        <v>605285410</v>
      </c>
      <c r="G733" t="s">
        <v>1302</v>
      </c>
      <c r="H733" t="s">
        <v>1303</v>
      </c>
      <c r="I733" t="s">
        <v>1304</v>
      </c>
      <c r="J733" t="str">
        <f t="shared" si="87"/>
        <v>081210</v>
      </c>
      <c r="K733" t="s">
        <v>22</v>
      </c>
      <c r="L733" t="s">
        <v>23</v>
      </c>
      <c r="M733" t="str">
        <f t="shared" si="82"/>
        <v>1</v>
      </c>
      <c r="O733" t="str">
        <f>CONCATENATE("1 ","")</f>
        <v xml:space="preserve">1 </v>
      </c>
      <c r="P733">
        <v>39.25</v>
      </c>
      <c r="Q733" t="s">
        <v>24</v>
      </c>
    </row>
    <row r="734" spans="1:17" x14ac:dyDescent="0.25">
      <c r="A734" t="s">
        <v>17</v>
      </c>
      <c r="B734" s="1">
        <v>41718</v>
      </c>
      <c r="C734" t="s">
        <v>786</v>
      </c>
      <c r="D734" t="str">
        <f>CONCATENATE("0060013390","")</f>
        <v>0060013390</v>
      </c>
      <c r="E734" t="str">
        <f>CONCATENATE("0120550000070       ","")</f>
        <v xml:space="preserve">0120550000070       </v>
      </c>
      <c r="F734" t="str">
        <f>CONCATENATE("605285411","")</f>
        <v>605285411</v>
      </c>
      <c r="G734" t="s">
        <v>1302</v>
      </c>
      <c r="H734" t="s">
        <v>1305</v>
      </c>
      <c r="I734" t="s">
        <v>1304</v>
      </c>
      <c r="J734" t="str">
        <f t="shared" si="87"/>
        <v>081210</v>
      </c>
      <c r="K734" t="s">
        <v>22</v>
      </c>
      <c r="L734" t="s">
        <v>23</v>
      </c>
      <c r="M734" t="str">
        <f t="shared" si="82"/>
        <v>1</v>
      </c>
      <c r="O734" t="str">
        <f>CONCATENATE("1 ","")</f>
        <v xml:space="preserve">1 </v>
      </c>
      <c r="P734">
        <v>26.35</v>
      </c>
      <c r="Q734" t="s">
        <v>24</v>
      </c>
    </row>
    <row r="735" spans="1:17" x14ac:dyDescent="0.25">
      <c r="A735" t="s">
        <v>17</v>
      </c>
      <c r="B735" s="1">
        <v>41718</v>
      </c>
      <c r="C735" t="s">
        <v>786</v>
      </c>
      <c r="D735" t="str">
        <f>CONCATENATE("0060013382","")</f>
        <v>0060013382</v>
      </c>
      <c r="E735" t="str">
        <f>CONCATENATE("0120550000160       ","")</f>
        <v xml:space="preserve">0120550000160       </v>
      </c>
      <c r="F735" t="str">
        <f>CONCATENATE("605290396","")</f>
        <v>605290396</v>
      </c>
      <c r="G735" t="s">
        <v>1302</v>
      </c>
      <c r="H735" t="s">
        <v>1306</v>
      </c>
      <c r="I735" t="s">
        <v>1304</v>
      </c>
      <c r="J735" t="str">
        <f t="shared" si="87"/>
        <v>081210</v>
      </c>
      <c r="K735" t="s">
        <v>22</v>
      </c>
      <c r="L735" t="s">
        <v>23</v>
      </c>
      <c r="M735" t="str">
        <f t="shared" si="82"/>
        <v>1</v>
      </c>
      <c r="O735" t="str">
        <f>CONCATENATE("2 ","")</f>
        <v xml:space="preserve">2 </v>
      </c>
      <c r="P735">
        <v>46.75</v>
      </c>
      <c r="Q735" t="s">
        <v>24</v>
      </c>
    </row>
    <row r="736" spans="1:17" x14ac:dyDescent="0.25">
      <c r="A736" t="s">
        <v>17</v>
      </c>
      <c r="B736" s="1">
        <v>41718</v>
      </c>
      <c r="C736" t="s">
        <v>786</v>
      </c>
      <c r="D736" t="str">
        <f>CONCATENATE("0060013361","")</f>
        <v>0060013361</v>
      </c>
      <c r="E736" t="str">
        <f>CONCATENATE("0120550000260       ","")</f>
        <v xml:space="preserve">0120550000260       </v>
      </c>
      <c r="F736" t="str">
        <f>CONCATENATE("605290392","")</f>
        <v>605290392</v>
      </c>
      <c r="G736" t="s">
        <v>1302</v>
      </c>
      <c r="H736" t="s">
        <v>1307</v>
      </c>
      <c r="I736" t="s">
        <v>1304</v>
      </c>
      <c r="J736" t="str">
        <f t="shared" si="87"/>
        <v>081210</v>
      </c>
      <c r="K736" t="s">
        <v>22</v>
      </c>
      <c r="L736" t="s">
        <v>23</v>
      </c>
      <c r="M736" t="str">
        <f t="shared" si="82"/>
        <v>1</v>
      </c>
      <c r="O736" t="str">
        <f>CONCATENATE("1 ","")</f>
        <v xml:space="preserve">1 </v>
      </c>
      <c r="P736">
        <v>13.8</v>
      </c>
      <c r="Q736" t="s">
        <v>24</v>
      </c>
    </row>
    <row r="737" spans="1:17" x14ac:dyDescent="0.25">
      <c r="A737" t="s">
        <v>17</v>
      </c>
      <c r="B737" s="1">
        <v>41718</v>
      </c>
      <c r="C737" t="s">
        <v>786</v>
      </c>
      <c r="D737" t="str">
        <f>CONCATENATE("0060013358","")</f>
        <v>0060013358</v>
      </c>
      <c r="E737" t="str">
        <f>CONCATENATE("0120550000290       ","")</f>
        <v xml:space="preserve">0120550000290       </v>
      </c>
      <c r="F737" t="str">
        <f>CONCATENATE("605290410","")</f>
        <v>605290410</v>
      </c>
      <c r="G737" t="s">
        <v>1302</v>
      </c>
      <c r="H737" t="s">
        <v>1308</v>
      </c>
      <c r="I737" t="s">
        <v>1309</v>
      </c>
      <c r="J737" t="str">
        <f t="shared" si="87"/>
        <v>081210</v>
      </c>
      <c r="K737" t="s">
        <v>22</v>
      </c>
      <c r="L737" t="s">
        <v>23</v>
      </c>
      <c r="M737" t="str">
        <f t="shared" si="82"/>
        <v>1</v>
      </c>
      <c r="O737" t="str">
        <f>CONCATENATE("1 ","")</f>
        <v xml:space="preserve">1 </v>
      </c>
      <c r="P737">
        <v>10.5</v>
      </c>
      <c r="Q737" t="s">
        <v>24</v>
      </c>
    </row>
    <row r="738" spans="1:17" x14ac:dyDescent="0.25">
      <c r="A738" t="s">
        <v>17</v>
      </c>
      <c r="B738" s="1">
        <v>41718</v>
      </c>
      <c r="C738" t="s">
        <v>786</v>
      </c>
      <c r="D738" t="str">
        <f>CONCATENATE("0060013356","")</f>
        <v>0060013356</v>
      </c>
      <c r="E738" t="str">
        <f>CONCATENATE("0120550000310       ","")</f>
        <v xml:space="preserve">0120550000310       </v>
      </c>
      <c r="F738" t="str">
        <f>CONCATENATE("605290407","")</f>
        <v>605290407</v>
      </c>
      <c r="G738" t="s">
        <v>1302</v>
      </c>
      <c r="H738" t="s">
        <v>1310</v>
      </c>
      <c r="I738" t="s">
        <v>1304</v>
      </c>
      <c r="J738" t="str">
        <f t="shared" si="87"/>
        <v>081210</v>
      </c>
      <c r="K738" t="s">
        <v>22</v>
      </c>
      <c r="L738" t="s">
        <v>23</v>
      </c>
      <c r="M738" t="str">
        <f t="shared" si="82"/>
        <v>1</v>
      </c>
      <c r="O738" t="str">
        <f>CONCATENATE("1 ","")</f>
        <v xml:space="preserve">1 </v>
      </c>
      <c r="P738">
        <v>21.15</v>
      </c>
      <c r="Q738" t="s">
        <v>24</v>
      </c>
    </row>
    <row r="739" spans="1:17" x14ac:dyDescent="0.25">
      <c r="A739" t="s">
        <v>17</v>
      </c>
      <c r="B739" s="1">
        <v>41718</v>
      </c>
      <c r="C739" t="s">
        <v>786</v>
      </c>
      <c r="D739" t="str">
        <f>CONCATENATE("0060013364","")</f>
        <v>0060013364</v>
      </c>
      <c r="E739" t="str">
        <f>CONCATENATE("0120550000380       ","")</f>
        <v xml:space="preserve">0120550000380       </v>
      </c>
      <c r="F739" t="str">
        <f>CONCATENATE("605290419","")</f>
        <v>605290419</v>
      </c>
      <c r="G739" t="s">
        <v>1302</v>
      </c>
      <c r="H739" t="s">
        <v>1311</v>
      </c>
      <c r="I739" t="s">
        <v>1309</v>
      </c>
      <c r="J739" t="str">
        <f t="shared" si="87"/>
        <v>081210</v>
      </c>
      <c r="K739" t="s">
        <v>22</v>
      </c>
      <c r="L739" t="s">
        <v>23</v>
      </c>
      <c r="M739" t="str">
        <f t="shared" si="82"/>
        <v>1</v>
      </c>
      <c r="O739" t="str">
        <f>CONCATENATE("1 ","")</f>
        <v xml:space="preserve">1 </v>
      </c>
      <c r="P739">
        <v>28.3</v>
      </c>
      <c r="Q739" t="s">
        <v>24</v>
      </c>
    </row>
    <row r="740" spans="1:17" x14ac:dyDescent="0.25">
      <c r="A740" t="s">
        <v>17</v>
      </c>
      <c r="B740" s="1">
        <v>41718</v>
      </c>
      <c r="C740" t="s">
        <v>786</v>
      </c>
      <c r="D740" t="str">
        <f>CONCATENATE("0060013407","")</f>
        <v>0060013407</v>
      </c>
      <c r="E740" t="str">
        <f>CONCATENATE("0120550000410       ","")</f>
        <v xml:space="preserve">0120550000410       </v>
      </c>
      <c r="F740" t="str">
        <f>CONCATENATE("605290413","")</f>
        <v>605290413</v>
      </c>
      <c r="G740" t="s">
        <v>1302</v>
      </c>
      <c r="H740" t="s">
        <v>1312</v>
      </c>
      <c r="I740" t="s">
        <v>1304</v>
      </c>
      <c r="J740" t="str">
        <f t="shared" si="87"/>
        <v>081210</v>
      </c>
      <c r="K740" t="s">
        <v>22</v>
      </c>
      <c r="L740" t="s">
        <v>23</v>
      </c>
      <c r="M740" t="str">
        <f t="shared" si="82"/>
        <v>1</v>
      </c>
      <c r="O740" t="str">
        <f>CONCATENATE("2 ","")</f>
        <v xml:space="preserve">2 </v>
      </c>
      <c r="P740">
        <v>39.950000000000003</v>
      </c>
      <c r="Q740" t="s">
        <v>24</v>
      </c>
    </row>
    <row r="741" spans="1:17" x14ac:dyDescent="0.25">
      <c r="A741" t="s">
        <v>17</v>
      </c>
      <c r="B741" s="1">
        <v>41718</v>
      </c>
      <c r="C741" t="s">
        <v>786</v>
      </c>
      <c r="D741" t="str">
        <f>CONCATENATE("0060013420","")</f>
        <v>0060013420</v>
      </c>
      <c r="E741" t="str">
        <f>CONCATENATE("0120550000450       ","")</f>
        <v xml:space="preserve">0120550000450       </v>
      </c>
      <c r="F741" t="str">
        <f>CONCATENATE("605285417","")</f>
        <v>605285417</v>
      </c>
      <c r="G741" t="s">
        <v>1302</v>
      </c>
      <c r="H741" t="s">
        <v>1313</v>
      </c>
      <c r="I741" t="s">
        <v>1304</v>
      </c>
      <c r="J741" t="str">
        <f t="shared" si="87"/>
        <v>081210</v>
      </c>
      <c r="K741" t="s">
        <v>22</v>
      </c>
      <c r="L741" t="s">
        <v>23</v>
      </c>
      <c r="M741" t="str">
        <f t="shared" si="82"/>
        <v>1</v>
      </c>
      <c r="O741" t="str">
        <f>CONCATENATE("2 ","")</f>
        <v xml:space="preserve">2 </v>
      </c>
      <c r="P741">
        <v>140.15</v>
      </c>
      <c r="Q741" t="s">
        <v>24</v>
      </c>
    </row>
    <row r="742" spans="1:17" x14ac:dyDescent="0.25">
      <c r="A742" t="s">
        <v>17</v>
      </c>
      <c r="B742" s="1">
        <v>41718</v>
      </c>
      <c r="C742" t="s">
        <v>786</v>
      </c>
      <c r="D742" t="str">
        <f>CONCATENATE("0060013369","")</f>
        <v>0060013369</v>
      </c>
      <c r="E742" t="str">
        <f>CONCATENATE("0120550000470       ","")</f>
        <v xml:space="preserve">0120550000470       </v>
      </c>
      <c r="F742" t="str">
        <f>CONCATENATE("605285430","")</f>
        <v>605285430</v>
      </c>
      <c r="G742" t="s">
        <v>1302</v>
      </c>
      <c r="H742" t="s">
        <v>1314</v>
      </c>
      <c r="I742" t="s">
        <v>1309</v>
      </c>
      <c r="J742" t="str">
        <f t="shared" si="87"/>
        <v>081210</v>
      </c>
      <c r="K742" t="s">
        <v>22</v>
      </c>
      <c r="L742" t="s">
        <v>23</v>
      </c>
      <c r="M742" t="str">
        <f t="shared" si="82"/>
        <v>1</v>
      </c>
      <c r="O742" t="str">
        <f>CONCATENATE("1 ","")</f>
        <v xml:space="preserve">1 </v>
      </c>
      <c r="P742">
        <v>10.5</v>
      </c>
      <c r="Q742" t="s">
        <v>24</v>
      </c>
    </row>
    <row r="743" spans="1:17" x14ac:dyDescent="0.25">
      <c r="A743" t="s">
        <v>17</v>
      </c>
      <c r="B743" s="1">
        <v>41718</v>
      </c>
      <c r="C743" t="s">
        <v>786</v>
      </c>
      <c r="D743" t="str">
        <f>CONCATENATE("0060013379","")</f>
        <v>0060013379</v>
      </c>
      <c r="E743" t="str">
        <f>CONCATENATE("0120550000540       ","")</f>
        <v xml:space="preserve">0120550000540       </v>
      </c>
      <c r="F743" t="str">
        <f>CONCATENATE("605285437","")</f>
        <v>605285437</v>
      </c>
      <c r="G743" t="s">
        <v>1302</v>
      </c>
      <c r="H743" t="s">
        <v>1315</v>
      </c>
      <c r="I743" t="s">
        <v>1316</v>
      </c>
      <c r="J743" t="str">
        <f t="shared" si="87"/>
        <v>081210</v>
      </c>
      <c r="K743" t="s">
        <v>22</v>
      </c>
      <c r="L743" t="s">
        <v>23</v>
      </c>
      <c r="M743" t="str">
        <f t="shared" si="82"/>
        <v>1</v>
      </c>
      <c r="O743" t="str">
        <f>CONCATENATE("1 ","")</f>
        <v xml:space="preserve">1 </v>
      </c>
      <c r="P743">
        <v>34.049999999999997</v>
      </c>
      <c r="Q743" t="s">
        <v>24</v>
      </c>
    </row>
    <row r="744" spans="1:17" x14ac:dyDescent="0.25">
      <c r="A744" t="s">
        <v>17</v>
      </c>
      <c r="B744" s="1">
        <v>41718</v>
      </c>
      <c r="C744" t="s">
        <v>786</v>
      </c>
      <c r="D744" t="str">
        <f>CONCATENATE("0060013412","")</f>
        <v>0060013412</v>
      </c>
      <c r="E744" t="str">
        <f>CONCATENATE("0120550000550       ","")</f>
        <v xml:space="preserve">0120550000550       </v>
      </c>
      <c r="F744" t="str">
        <f>CONCATENATE("763719","")</f>
        <v>763719</v>
      </c>
      <c r="G744" t="s">
        <v>1302</v>
      </c>
      <c r="H744" t="s">
        <v>1317</v>
      </c>
      <c r="I744" t="s">
        <v>1304</v>
      </c>
      <c r="J744" t="str">
        <f t="shared" si="87"/>
        <v>081210</v>
      </c>
      <c r="K744" t="s">
        <v>22</v>
      </c>
      <c r="L744" t="s">
        <v>23</v>
      </c>
      <c r="M744" t="str">
        <f t="shared" ref="M744:M807" si="88">CONCATENATE("1","")</f>
        <v>1</v>
      </c>
      <c r="O744" t="str">
        <f>CONCATENATE("1 ","")</f>
        <v xml:space="preserve">1 </v>
      </c>
      <c r="P744">
        <v>31.6</v>
      </c>
      <c r="Q744" t="s">
        <v>24</v>
      </c>
    </row>
    <row r="745" spans="1:17" x14ac:dyDescent="0.25">
      <c r="A745" t="s">
        <v>17</v>
      </c>
      <c r="B745" s="1">
        <v>41718</v>
      </c>
      <c r="C745" t="s">
        <v>786</v>
      </c>
      <c r="D745" t="str">
        <f>CONCATENATE("0060013355","")</f>
        <v>0060013355</v>
      </c>
      <c r="E745" t="str">
        <f>CONCATENATE("0120550000620       ","")</f>
        <v xml:space="preserve">0120550000620       </v>
      </c>
      <c r="F745" t="str">
        <f>CONCATENATE("605290414","")</f>
        <v>605290414</v>
      </c>
      <c r="G745" t="s">
        <v>1302</v>
      </c>
      <c r="H745" t="s">
        <v>1318</v>
      </c>
      <c r="I745" t="s">
        <v>1304</v>
      </c>
      <c r="J745" t="str">
        <f t="shared" si="87"/>
        <v>081210</v>
      </c>
      <c r="K745" t="s">
        <v>22</v>
      </c>
      <c r="L745" t="s">
        <v>23</v>
      </c>
      <c r="M745" t="str">
        <f t="shared" si="88"/>
        <v>1</v>
      </c>
      <c r="O745" t="str">
        <f>CONCATENATE("1 ","")</f>
        <v xml:space="preserve">1 </v>
      </c>
      <c r="P745">
        <v>19.350000000000001</v>
      </c>
      <c r="Q745" t="s">
        <v>24</v>
      </c>
    </row>
    <row r="746" spans="1:17" x14ac:dyDescent="0.25">
      <c r="A746" t="s">
        <v>17</v>
      </c>
      <c r="B746" s="1">
        <v>41718</v>
      </c>
      <c r="C746" t="s">
        <v>794</v>
      </c>
      <c r="D746" t="str">
        <f>CONCATENATE("0060013416","")</f>
        <v>0060013416</v>
      </c>
      <c r="E746" t="str">
        <f>CONCATENATE("0120551000080       ","")</f>
        <v xml:space="preserve">0120551000080       </v>
      </c>
      <c r="F746" t="str">
        <f>CONCATENATE("763782","")</f>
        <v>763782</v>
      </c>
      <c r="G746" t="s">
        <v>542</v>
      </c>
      <c r="H746" t="s">
        <v>1319</v>
      </c>
      <c r="I746" t="s">
        <v>1320</v>
      </c>
      <c r="J746" t="str">
        <f>CONCATENATE("081204","")</f>
        <v>081204</v>
      </c>
      <c r="K746" t="s">
        <v>22</v>
      </c>
      <c r="L746" t="s">
        <v>23</v>
      </c>
      <c r="M746" t="str">
        <f t="shared" si="88"/>
        <v>1</v>
      </c>
      <c r="O746" t="str">
        <f>CONCATENATE("7 ","")</f>
        <v xml:space="preserve">7 </v>
      </c>
      <c r="P746">
        <v>40.6</v>
      </c>
      <c r="Q746" t="s">
        <v>24</v>
      </c>
    </row>
    <row r="747" spans="1:17" x14ac:dyDescent="0.25">
      <c r="A747" t="s">
        <v>17</v>
      </c>
      <c r="B747" s="1">
        <v>41718</v>
      </c>
      <c r="C747" t="s">
        <v>786</v>
      </c>
      <c r="D747" t="str">
        <f>CONCATENATE("0060013724","")</f>
        <v>0060013724</v>
      </c>
      <c r="E747" t="str">
        <f>CONCATENATE("0120552000050       ","")</f>
        <v xml:space="preserve">0120552000050       </v>
      </c>
      <c r="F747" t="str">
        <f>CONCATENATE("605622211","")</f>
        <v>605622211</v>
      </c>
      <c r="G747" t="s">
        <v>1321</v>
      </c>
      <c r="H747" t="s">
        <v>1322</v>
      </c>
      <c r="I747" t="s">
        <v>1323</v>
      </c>
      <c r="J747" t="str">
        <f t="shared" ref="J747:J759" si="89">CONCATENATE("081210","")</f>
        <v>081210</v>
      </c>
      <c r="K747" t="s">
        <v>22</v>
      </c>
      <c r="L747" t="s">
        <v>23</v>
      </c>
      <c r="M747" t="str">
        <f t="shared" si="88"/>
        <v>1</v>
      </c>
      <c r="O747" t="str">
        <f t="shared" ref="O747:O762" si="90">CONCATENATE("1 ","")</f>
        <v xml:space="preserve">1 </v>
      </c>
      <c r="P747">
        <v>10.5</v>
      </c>
      <c r="Q747" t="s">
        <v>24</v>
      </c>
    </row>
    <row r="748" spans="1:17" x14ac:dyDescent="0.25">
      <c r="A748" t="s">
        <v>17</v>
      </c>
      <c r="B748" s="1">
        <v>41718</v>
      </c>
      <c r="C748" t="s">
        <v>786</v>
      </c>
      <c r="D748" t="str">
        <f>CONCATENATE("0060013881","")</f>
        <v>0060013881</v>
      </c>
      <c r="E748" t="str">
        <f>CONCATENATE("0120553000080       ","")</f>
        <v xml:space="preserve">0120553000080       </v>
      </c>
      <c r="F748" t="str">
        <f>CONCATENATE("605621083","")</f>
        <v>605621083</v>
      </c>
      <c r="G748" t="s">
        <v>1324</v>
      </c>
      <c r="H748" t="s">
        <v>1325</v>
      </c>
      <c r="I748" t="s">
        <v>1220</v>
      </c>
      <c r="J748" t="str">
        <f t="shared" si="89"/>
        <v>081210</v>
      </c>
      <c r="K748" t="s">
        <v>22</v>
      </c>
      <c r="L748" t="s">
        <v>23</v>
      </c>
      <c r="M748" t="str">
        <f t="shared" si="88"/>
        <v>1</v>
      </c>
      <c r="O748" t="str">
        <f t="shared" si="90"/>
        <v xml:space="preserve">1 </v>
      </c>
      <c r="P748">
        <v>32.65</v>
      </c>
      <c r="Q748" t="s">
        <v>24</v>
      </c>
    </row>
    <row r="749" spans="1:17" x14ac:dyDescent="0.25">
      <c r="A749" t="s">
        <v>17</v>
      </c>
      <c r="B749" s="1">
        <v>41718</v>
      </c>
      <c r="C749" t="s">
        <v>786</v>
      </c>
      <c r="D749" t="str">
        <f>CONCATENATE("0060013892","")</f>
        <v>0060013892</v>
      </c>
      <c r="E749" t="str">
        <f>CONCATENATE("0120553000110       ","")</f>
        <v xml:space="preserve">0120553000110       </v>
      </c>
      <c r="F749" t="str">
        <f>CONCATENATE("605621095","")</f>
        <v>605621095</v>
      </c>
      <c r="G749" t="s">
        <v>1324</v>
      </c>
      <c r="H749" t="s">
        <v>1326</v>
      </c>
      <c r="I749" t="s">
        <v>1220</v>
      </c>
      <c r="J749" t="str">
        <f t="shared" si="89"/>
        <v>081210</v>
      </c>
      <c r="K749" t="s">
        <v>22</v>
      </c>
      <c r="L749" t="s">
        <v>23</v>
      </c>
      <c r="M749" t="str">
        <f t="shared" si="88"/>
        <v>1</v>
      </c>
      <c r="O749" t="str">
        <f t="shared" si="90"/>
        <v xml:space="preserve">1 </v>
      </c>
      <c r="P749">
        <v>16.75</v>
      </c>
      <c r="Q749" t="s">
        <v>24</v>
      </c>
    </row>
    <row r="750" spans="1:17" x14ac:dyDescent="0.25">
      <c r="A750" t="s">
        <v>17</v>
      </c>
      <c r="B750" s="1">
        <v>41718</v>
      </c>
      <c r="C750" t="s">
        <v>786</v>
      </c>
      <c r="D750" t="str">
        <f>CONCATENATE("0060013908","")</f>
        <v>0060013908</v>
      </c>
      <c r="E750" t="str">
        <f>CONCATENATE("0120553000120       ","")</f>
        <v xml:space="preserve">0120553000120       </v>
      </c>
      <c r="F750" t="str">
        <f>CONCATENATE("605621111","")</f>
        <v>605621111</v>
      </c>
      <c r="G750" t="s">
        <v>1324</v>
      </c>
      <c r="H750" t="s">
        <v>1327</v>
      </c>
      <c r="I750" t="s">
        <v>1220</v>
      </c>
      <c r="J750" t="str">
        <f t="shared" si="89"/>
        <v>081210</v>
      </c>
      <c r="K750" t="s">
        <v>22</v>
      </c>
      <c r="L750" t="s">
        <v>23</v>
      </c>
      <c r="M750" t="str">
        <f t="shared" si="88"/>
        <v>1</v>
      </c>
      <c r="O750" t="str">
        <f t="shared" si="90"/>
        <v xml:space="preserve">1 </v>
      </c>
      <c r="P750">
        <v>36.9</v>
      </c>
      <c r="Q750" t="s">
        <v>24</v>
      </c>
    </row>
    <row r="751" spans="1:17" x14ac:dyDescent="0.25">
      <c r="A751" t="s">
        <v>17</v>
      </c>
      <c r="B751" s="1">
        <v>41718</v>
      </c>
      <c r="C751" t="s">
        <v>786</v>
      </c>
      <c r="D751" t="str">
        <f>CONCATENATE("0060013896","")</f>
        <v>0060013896</v>
      </c>
      <c r="E751" t="str">
        <f>CONCATENATE("0120553000140       ","")</f>
        <v xml:space="preserve">0120553000140       </v>
      </c>
      <c r="F751" t="str">
        <f>CONCATENATE("605621102","")</f>
        <v>605621102</v>
      </c>
      <c r="G751" t="s">
        <v>1324</v>
      </c>
      <c r="H751" t="s">
        <v>1328</v>
      </c>
      <c r="I751" t="s">
        <v>1220</v>
      </c>
      <c r="J751" t="str">
        <f t="shared" si="89"/>
        <v>081210</v>
      </c>
      <c r="K751" t="s">
        <v>22</v>
      </c>
      <c r="L751" t="s">
        <v>23</v>
      </c>
      <c r="M751" t="str">
        <f t="shared" si="88"/>
        <v>1</v>
      </c>
      <c r="O751" t="str">
        <f t="shared" si="90"/>
        <v xml:space="preserve">1 </v>
      </c>
      <c r="P751">
        <v>19.600000000000001</v>
      </c>
      <c r="Q751" t="s">
        <v>24</v>
      </c>
    </row>
    <row r="752" spans="1:17" x14ac:dyDescent="0.25">
      <c r="A752" t="s">
        <v>17</v>
      </c>
      <c r="B752" s="1">
        <v>41718</v>
      </c>
      <c r="C752" t="s">
        <v>786</v>
      </c>
      <c r="D752" t="str">
        <f>CONCATENATE("0060013909","")</f>
        <v>0060013909</v>
      </c>
      <c r="E752" t="str">
        <f>CONCATENATE("0120553000178       ","")</f>
        <v xml:space="preserve">0120553000178       </v>
      </c>
      <c r="F752" t="str">
        <f>CONCATENATE("605621103","")</f>
        <v>605621103</v>
      </c>
      <c r="G752" t="s">
        <v>1213</v>
      </c>
      <c r="H752" t="s">
        <v>1329</v>
      </c>
      <c r="I752" t="s">
        <v>1220</v>
      </c>
      <c r="J752" t="str">
        <f t="shared" si="89"/>
        <v>081210</v>
      </c>
      <c r="K752" t="s">
        <v>22</v>
      </c>
      <c r="L752" t="s">
        <v>23</v>
      </c>
      <c r="M752" t="str">
        <f t="shared" si="88"/>
        <v>1</v>
      </c>
      <c r="O752" t="str">
        <f t="shared" si="90"/>
        <v xml:space="preserve">1 </v>
      </c>
      <c r="P752">
        <v>20.8</v>
      </c>
      <c r="Q752" t="s">
        <v>24</v>
      </c>
    </row>
    <row r="753" spans="1:17" x14ac:dyDescent="0.25">
      <c r="A753" t="s">
        <v>17</v>
      </c>
      <c r="B753" s="1">
        <v>41718</v>
      </c>
      <c r="C753" t="s">
        <v>786</v>
      </c>
      <c r="D753" t="str">
        <f>CONCATENATE("0060013950","")</f>
        <v>0060013950</v>
      </c>
      <c r="E753" t="str">
        <f>CONCATENATE("0120553000270       ","")</f>
        <v xml:space="preserve">0120553000270       </v>
      </c>
      <c r="F753" t="str">
        <f>CONCATENATE("605621100","")</f>
        <v>605621100</v>
      </c>
      <c r="G753" t="s">
        <v>1324</v>
      </c>
      <c r="H753" t="s">
        <v>1330</v>
      </c>
      <c r="I753" t="s">
        <v>1331</v>
      </c>
      <c r="J753" t="str">
        <f t="shared" si="89"/>
        <v>081210</v>
      </c>
      <c r="K753" t="s">
        <v>22</v>
      </c>
      <c r="L753" t="s">
        <v>23</v>
      </c>
      <c r="M753" t="str">
        <f t="shared" si="88"/>
        <v>1</v>
      </c>
      <c r="O753" t="str">
        <f t="shared" si="90"/>
        <v xml:space="preserve">1 </v>
      </c>
      <c r="P753">
        <v>12</v>
      </c>
      <c r="Q753" t="s">
        <v>24</v>
      </c>
    </row>
    <row r="754" spans="1:17" x14ac:dyDescent="0.25">
      <c r="A754" t="s">
        <v>17</v>
      </c>
      <c r="B754" s="1">
        <v>41718</v>
      </c>
      <c r="C754" t="s">
        <v>786</v>
      </c>
      <c r="D754" t="str">
        <f>CONCATENATE("0060013882","")</f>
        <v>0060013882</v>
      </c>
      <c r="E754" t="str">
        <f>CONCATENATE("0120553000290       ","")</f>
        <v xml:space="preserve">0120553000290       </v>
      </c>
      <c r="F754" t="str">
        <f>CONCATENATE("605621097","")</f>
        <v>605621097</v>
      </c>
      <c r="G754" t="s">
        <v>1213</v>
      </c>
      <c r="H754" t="s">
        <v>1332</v>
      </c>
      <c r="I754" t="s">
        <v>1333</v>
      </c>
      <c r="J754" t="str">
        <f t="shared" si="89"/>
        <v>081210</v>
      </c>
      <c r="K754" t="s">
        <v>22</v>
      </c>
      <c r="L754" t="s">
        <v>23</v>
      </c>
      <c r="M754" t="str">
        <f t="shared" si="88"/>
        <v>1</v>
      </c>
      <c r="O754" t="str">
        <f t="shared" si="90"/>
        <v xml:space="preserve">1 </v>
      </c>
      <c r="P754">
        <v>40.5</v>
      </c>
      <c r="Q754" t="s">
        <v>24</v>
      </c>
    </row>
    <row r="755" spans="1:17" x14ac:dyDescent="0.25">
      <c r="A755" t="s">
        <v>17</v>
      </c>
      <c r="B755" s="1">
        <v>41718</v>
      </c>
      <c r="C755" t="s">
        <v>786</v>
      </c>
      <c r="D755" t="str">
        <f>CONCATENATE("0060013887","")</f>
        <v>0060013887</v>
      </c>
      <c r="E755" t="str">
        <f>CONCATENATE("0120553000320       ","")</f>
        <v xml:space="preserve">0120553000320       </v>
      </c>
      <c r="F755" t="str">
        <f>CONCATENATE("605621096","")</f>
        <v>605621096</v>
      </c>
      <c r="G755" t="s">
        <v>1213</v>
      </c>
      <c r="H755" t="s">
        <v>1334</v>
      </c>
      <c r="I755" t="s">
        <v>1220</v>
      </c>
      <c r="J755" t="str">
        <f t="shared" si="89"/>
        <v>081210</v>
      </c>
      <c r="K755" t="s">
        <v>22</v>
      </c>
      <c r="L755" t="s">
        <v>23</v>
      </c>
      <c r="M755" t="str">
        <f t="shared" si="88"/>
        <v>1</v>
      </c>
      <c r="O755" t="str">
        <f t="shared" si="90"/>
        <v xml:space="preserve">1 </v>
      </c>
      <c r="P755">
        <v>22.55</v>
      </c>
      <c r="Q755" t="s">
        <v>24</v>
      </c>
    </row>
    <row r="756" spans="1:17" x14ac:dyDescent="0.25">
      <c r="A756" t="s">
        <v>17</v>
      </c>
      <c r="B756" s="1">
        <v>41718</v>
      </c>
      <c r="C756" t="s">
        <v>786</v>
      </c>
      <c r="D756" t="str">
        <f>CONCATENATE("0060014083","")</f>
        <v>0060014083</v>
      </c>
      <c r="E756" t="str">
        <f>CONCATENATE("0120555000087       ","")</f>
        <v xml:space="preserve">0120555000087       </v>
      </c>
      <c r="F756" t="str">
        <f>CONCATENATE("605623284","")</f>
        <v>605623284</v>
      </c>
      <c r="G756" t="s">
        <v>1335</v>
      </c>
      <c r="H756" t="s">
        <v>1336</v>
      </c>
      <c r="I756" t="s">
        <v>1337</v>
      </c>
      <c r="J756" t="str">
        <f t="shared" si="89"/>
        <v>081210</v>
      </c>
      <c r="K756" t="s">
        <v>22</v>
      </c>
      <c r="L756" t="s">
        <v>23</v>
      </c>
      <c r="M756" t="str">
        <f t="shared" si="88"/>
        <v>1</v>
      </c>
      <c r="O756" t="str">
        <f t="shared" si="90"/>
        <v xml:space="preserve">1 </v>
      </c>
      <c r="P756">
        <v>10.45</v>
      </c>
      <c r="Q756" t="s">
        <v>24</v>
      </c>
    </row>
    <row r="757" spans="1:17" x14ac:dyDescent="0.25">
      <c r="A757" t="s">
        <v>17</v>
      </c>
      <c r="B757" s="1">
        <v>41718</v>
      </c>
      <c r="C757" t="s">
        <v>786</v>
      </c>
      <c r="D757" t="str">
        <f>CONCATENATE("0060013988","")</f>
        <v>0060013988</v>
      </c>
      <c r="E757" t="str">
        <f>CONCATENATE("0120555000090       ","")</f>
        <v xml:space="preserve">0120555000090       </v>
      </c>
      <c r="F757" t="str">
        <f>CONCATENATE("605619969","")</f>
        <v>605619969</v>
      </c>
      <c r="G757" t="s">
        <v>1335</v>
      </c>
      <c r="H757" t="s">
        <v>1338</v>
      </c>
      <c r="I757" t="s">
        <v>1337</v>
      </c>
      <c r="J757" t="str">
        <f t="shared" si="89"/>
        <v>081210</v>
      </c>
      <c r="K757" t="s">
        <v>22</v>
      </c>
      <c r="L757" t="s">
        <v>23</v>
      </c>
      <c r="M757" t="str">
        <f t="shared" si="88"/>
        <v>1</v>
      </c>
      <c r="O757" t="str">
        <f t="shared" si="90"/>
        <v xml:space="preserve">1 </v>
      </c>
      <c r="P757">
        <v>10.45</v>
      </c>
      <c r="Q757" t="s">
        <v>24</v>
      </c>
    </row>
    <row r="758" spans="1:17" x14ac:dyDescent="0.25">
      <c r="A758" t="s">
        <v>17</v>
      </c>
      <c r="B758" s="1">
        <v>41718</v>
      </c>
      <c r="C758" t="s">
        <v>786</v>
      </c>
      <c r="D758" t="str">
        <f>CONCATENATE("0060014015","")</f>
        <v>0060014015</v>
      </c>
      <c r="E758" t="str">
        <f>CONCATENATE("0120555000265       ","")</f>
        <v xml:space="preserve">0120555000265       </v>
      </c>
      <c r="F758" t="str">
        <f>CONCATENATE("605619943","")</f>
        <v>605619943</v>
      </c>
      <c r="G758" t="s">
        <v>1339</v>
      </c>
      <c r="H758" t="s">
        <v>1340</v>
      </c>
      <c r="I758" t="s">
        <v>1341</v>
      </c>
      <c r="J758" t="str">
        <f t="shared" si="89"/>
        <v>081210</v>
      </c>
      <c r="K758" t="s">
        <v>22</v>
      </c>
      <c r="L758" t="s">
        <v>23</v>
      </c>
      <c r="M758" t="str">
        <f t="shared" si="88"/>
        <v>1</v>
      </c>
      <c r="O758" t="str">
        <f t="shared" si="90"/>
        <v xml:space="preserve">1 </v>
      </c>
      <c r="P758">
        <v>10.5</v>
      </c>
      <c r="Q758" t="s">
        <v>24</v>
      </c>
    </row>
    <row r="759" spans="1:17" x14ac:dyDescent="0.25">
      <c r="A759" t="s">
        <v>17</v>
      </c>
      <c r="B759" s="1">
        <v>41718</v>
      </c>
      <c r="C759" t="s">
        <v>786</v>
      </c>
      <c r="D759" t="str">
        <f>CONCATENATE("0060014142","")</f>
        <v>0060014142</v>
      </c>
      <c r="E759" t="str">
        <f>CONCATENATE("0120556000510       ","")</f>
        <v xml:space="preserve">0120556000510       </v>
      </c>
      <c r="F759" t="str">
        <f>CONCATENATE("605766091","")</f>
        <v>605766091</v>
      </c>
      <c r="G759" t="s">
        <v>1342</v>
      </c>
      <c r="H759" t="s">
        <v>1343</v>
      </c>
      <c r="I759" t="s">
        <v>1344</v>
      </c>
      <c r="J759" t="str">
        <f t="shared" si="89"/>
        <v>081210</v>
      </c>
      <c r="K759" t="s">
        <v>22</v>
      </c>
      <c r="L759" t="s">
        <v>23</v>
      </c>
      <c r="M759" t="str">
        <f t="shared" si="88"/>
        <v>1</v>
      </c>
      <c r="O759" t="str">
        <f t="shared" si="90"/>
        <v xml:space="preserve">1 </v>
      </c>
      <c r="P759">
        <v>49.4</v>
      </c>
      <c r="Q759" t="s">
        <v>24</v>
      </c>
    </row>
    <row r="760" spans="1:17" x14ac:dyDescent="0.25">
      <c r="A760" t="s">
        <v>17</v>
      </c>
      <c r="B760" s="1">
        <v>41718</v>
      </c>
      <c r="C760" t="s">
        <v>140</v>
      </c>
      <c r="D760" t="str">
        <f>CONCATENATE("0060014116","")</f>
        <v>0060014116</v>
      </c>
      <c r="E760" t="str">
        <f>CONCATENATE("0120557000015       ","")</f>
        <v xml:space="preserve">0120557000015       </v>
      </c>
      <c r="F760" t="str">
        <f>CONCATENATE("605630817","")</f>
        <v>605630817</v>
      </c>
      <c r="G760" t="s">
        <v>1345</v>
      </c>
      <c r="H760" t="s">
        <v>1346</v>
      </c>
      <c r="I760" t="s">
        <v>1347</v>
      </c>
      <c r="J760" t="str">
        <f>CONCATENATE("081201","")</f>
        <v>081201</v>
      </c>
      <c r="K760" t="s">
        <v>22</v>
      </c>
      <c r="L760" t="s">
        <v>23</v>
      </c>
      <c r="M760" t="str">
        <f t="shared" si="88"/>
        <v>1</v>
      </c>
      <c r="O760" t="str">
        <f t="shared" si="90"/>
        <v xml:space="preserve">1 </v>
      </c>
      <c r="P760">
        <v>15.7</v>
      </c>
      <c r="Q760" t="s">
        <v>24</v>
      </c>
    </row>
    <row r="761" spans="1:17" x14ac:dyDescent="0.25">
      <c r="A761" t="s">
        <v>17</v>
      </c>
      <c r="B761" s="1">
        <v>41718</v>
      </c>
      <c r="C761" t="s">
        <v>140</v>
      </c>
      <c r="D761" t="str">
        <f>CONCATENATE("0060014175","")</f>
        <v>0060014175</v>
      </c>
      <c r="E761" t="str">
        <f>CONCATENATE("0120557000245       ","")</f>
        <v xml:space="preserve">0120557000245       </v>
      </c>
      <c r="F761" t="str">
        <f>CONCATENATE("605762167","")</f>
        <v>605762167</v>
      </c>
      <c r="G761" t="s">
        <v>1345</v>
      </c>
      <c r="H761" t="s">
        <v>1348</v>
      </c>
      <c r="I761" t="s">
        <v>1347</v>
      </c>
      <c r="J761" t="str">
        <f>CONCATENATE("081201","")</f>
        <v>081201</v>
      </c>
      <c r="K761" t="s">
        <v>22</v>
      </c>
      <c r="L761" t="s">
        <v>23</v>
      </c>
      <c r="M761" t="str">
        <f t="shared" si="88"/>
        <v>1</v>
      </c>
      <c r="O761" t="str">
        <f t="shared" si="90"/>
        <v xml:space="preserve">1 </v>
      </c>
      <c r="P761">
        <v>13.75</v>
      </c>
      <c r="Q761" t="s">
        <v>24</v>
      </c>
    </row>
    <row r="762" spans="1:17" x14ac:dyDescent="0.25">
      <c r="A762" t="s">
        <v>17</v>
      </c>
      <c r="B762" s="1">
        <v>41718</v>
      </c>
      <c r="C762" t="s">
        <v>140</v>
      </c>
      <c r="D762" t="str">
        <f>CONCATENATE("0060014177","")</f>
        <v>0060014177</v>
      </c>
      <c r="E762" t="str">
        <f>CONCATENATE("0120557000255       ","")</f>
        <v xml:space="preserve">0120557000255       </v>
      </c>
      <c r="F762" t="str">
        <f>CONCATENATE("605762159","")</f>
        <v>605762159</v>
      </c>
      <c r="G762" t="s">
        <v>263</v>
      </c>
      <c r="H762" t="s">
        <v>1349</v>
      </c>
      <c r="I762" t="s">
        <v>1350</v>
      </c>
      <c r="J762" t="str">
        <f>CONCATENATE("081201","")</f>
        <v>081201</v>
      </c>
      <c r="K762" t="s">
        <v>22</v>
      </c>
      <c r="L762" t="s">
        <v>23</v>
      </c>
      <c r="M762" t="str">
        <f t="shared" si="88"/>
        <v>1</v>
      </c>
      <c r="O762" t="str">
        <f t="shared" si="90"/>
        <v xml:space="preserve">1 </v>
      </c>
      <c r="P762">
        <v>14.5</v>
      </c>
      <c r="Q762" t="s">
        <v>24</v>
      </c>
    </row>
    <row r="763" spans="1:17" x14ac:dyDescent="0.25">
      <c r="A763" t="s">
        <v>17</v>
      </c>
      <c r="B763" s="1">
        <v>41718</v>
      </c>
      <c r="C763" t="s">
        <v>786</v>
      </c>
      <c r="D763" t="str">
        <f>CONCATENATE("0060015615","")</f>
        <v>0060015615</v>
      </c>
      <c r="E763" t="str">
        <f>CONCATENATE("0120558000105       ","")</f>
        <v xml:space="preserve">0120558000105       </v>
      </c>
      <c r="F763" t="str">
        <f>CONCATENATE("605942116","")</f>
        <v>605942116</v>
      </c>
      <c r="G763" t="s">
        <v>1351</v>
      </c>
      <c r="H763" t="s">
        <v>1352</v>
      </c>
      <c r="I763" t="s">
        <v>1353</v>
      </c>
      <c r="J763" t="str">
        <f t="shared" ref="J763:J794" si="91">CONCATENATE("081210","")</f>
        <v>081210</v>
      </c>
      <c r="K763" t="s">
        <v>22</v>
      </c>
      <c r="L763" t="s">
        <v>23</v>
      </c>
      <c r="M763" t="str">
        <f t="shared" si="88"/>
        <v>1</v>
      </c>
      <c r="O763" t="str">
        <f>CONCATENATE("2 ","")</f>
        <v xml:space="preserve">2 </v>
      </c>
      <c r="P763">
        <v>1296</v>
      </c>
      <c r="Q763" t="s">
        <v>24</v>
      </c>
    </row>
    <row r="764" spans="1:17" x14ac:dyDescent="0.25">
      <c r="A764" t="s">
        <v>17</v>
      </c>
      <c r="B764" s="1">
        <v>41718</v>
      </c>
      <c r="C764" t="s">
        <v>786</v>
      </c>
      <c r="D764" t="str">
        <f>CONCATENATE("0060014198","")</f>
        <v>0060014198</v>
      </c>
      <c r="E764" t="str">
        <f>CONCATENATE("0120558000120       ","")</f>
        <v xml:space="preserve">0120558000120       </v>
      </c>
      <c r="F764" t="str">
        <f>CONCATENATE("605745470","")</f>
        <v>605745470</v>
      </c>
      <c r="G764" t="s">
        <v>1351</v>
      </c>
      <c r="H764" t="s">
        <v>1354</v>
      </c>
      <c r="I764" t="s">
        <v>1355</v>
      </c>
      <c r="J764" t="str">
        <f t="shared" si="91"/>
        <v>081210</v>
      </c>
      <c r="K764" t="s">
        <v>22</v>
      </c>
      <c r="L764" t="s">
        <v>23</v>
      </c>
      <c r="M764" t="str">
        <f t="shared" si="88"/>
        <v>1</v>
      </c>
      <c r="O764" t="str">
        <f>CONCATENATE("1 ","")</f>
        <v xml:space="preserve">1 </v>
      </c>
      <c r="P764">
        <v>25.4</v>
      </c>
      <c r="Q764" t="s">
        <v>24</v>
      </c>
    </row>
    <row r="765" spans="1:17" x14ac:dyDescent="0.25">
      <c r="A765" t="s">
        <v>17</v>
      </c>
      <c r="B765" s="1">
        <v>41718</v>
      </c>
      <c r="C765" t="s">
        <v>786</v>
      </c>
      <c r="D765" t="str">
        <f>CONCATENATE("0060018369","")</f>
        <v>0060018369</v>
      </c>
      <c r="E765" t="str">
        <f>CONCATENATE("0120558000138       ","")</f>
        <v xml:space="preserve">0120558000138       </v>
      </c>
      <c r="F765" t="str">
        <f>CONCATENATE("0606306470","")</f>
        <v>0606306470</v>
      </c>
      <c r="G765" t="s">
        <v>1356</v>
      </c>
      <c r="H765" t="s">
        <v>1357</v>
      </c>
      <c r="I765" t="s">
        <v>1358</v>
      </c>
      <c r="J765" t="str">
        <f t="shared" si="91"/>
        <v>081210</v>
      </c>
      <c r="K765" t="s">
        <v>22</v>
      </c>
      <c r="L765" t="s">
        <v>23</v>
      </c>
      <c r="M765" t="str">
        <f t="shared" si="88"/>
        <v>1</v>
      </c>
      <c r="O765" t="str">
        <f>CONCATENATE("1 ","")</f>
        <v xml:space="preserve">1 </v>
      </c>
      <c r="P765">
        <v>15.2</v>
      </c>
      <c r="Q765" t="s">
        <v>24</v>
      </c>
    </row>
    <row r="766" spans="1:17" x14ac:dyDescent="0.25">
      <c r="A766" t="s">
        <v>17</v>
      </c>
      <c r="B766" s="1">
        <v>41718</v>
      </c>
      <c r="C766" t="s">
        <v>786</v>
      </c>
      <c r="D766" t="str">
        <f>CONCATENATE("0060018251","")</f>
        <v>0060018251</v>
      </c>
      <c r="E766" t="str">
        <f>CONCATENATE("0120558000170       ","")</f>
        <v xml:space="preserve">0120558000170       </v>
      </c>
      <c r="F766" t="str">
        <f>CONCATENATE("2184542","")</f>
        <v>2184542</v>
      </c>
      <c r="G766" t="s">
        <v>1356</v>
      </c>
      <c r="H766" t="s">
        <v>1359</v>
      </c>
      <c r="I766" t="s">
        <v>1360</v>
      </c>
      <c r="J766" t="str">
        <f t="shared" si="91"/>
        <v>081210</v>
      </c>
      <c r="K766" t="s">
        <v>22</v>
      </c>
      <c r="L766" t="s">
        <v>23</v>
      </c>
      <c r="M766" t="str">
        <f t="shared" si="88"/>
        <v>1</v>
      </c>
      <c r="O766" t="str">
        <f>CONCATENATE("2 ","")</f>
        <v xml:space="preserve">2 </v>
      </c>
      <c r="P766">
        <v>22.6</v>
      </c>
      <c r="Q766" t="s">
        <v>24</v>
      </c>
    </row>
    <row r="767" spans="1:17" x14ac:dyDescent="0.25">
      <c r="A767" t="s">
        <v>17</v>
      </c>
      <c r="B767" s="1">
        <v>41718</v>
      </c>
      <c r="C767" t="s">
        <v>786</v>
      </c>
      <c r="D767" t="str">
        <f>CONCATENATE("0060014243","")</f>
        <v>0060014243</v>
      </c>
      <c r="E767" t="str">
        <f>CONCATENATE("0120558000350       ","")</f>
        <v xml:space="preserve">0120558000350       </v>
      </c>
      <c r="F767" t="str">
        <f>CONCATENATE("605757457","")</f>
        <v>605757457</v>
      </c>
      <c r="G767" t="s">
        <v>1339</v>
      </c>
      <c r="H767" t="s">
        <v>1361</v>
      </c>
      <c r="I767" t="s">
        <v>1362</v>
      </c>
      <c r="J767" t="str">
        <f t="shared" si="91"/>
        <v>081210</v>
      </c>
      <c r="K767" t="s">
        <v>22</v>
      </c>
      <c r="L767" t="s">
        <v>23</v>
      </c>
      <c r="M767" t="str">
        <f t="shared" si="88"/>
        <v>1</v>
      </c>
      <c r="O767" t="str">
        <f t="shared" ref="O767:O772" si="92">CONCATENATE("1 ","")</f>
        <v xml:space="preserve">1 </v>
      </c>
      <c r="P767">
        <v>13.8</v>
      </c>
      <c r="Q767" t="s">
        <v>24</v>
      </c>
    </row>
    <row r="768" spans="1:17" x14ac:dyDescent="0.25">
      <c r="A768" t="s">
        <v>17</v>
      </c>
      <c r="B768" s="1">
        <v>41718</v>
      </c>
      <c r="C768" t="s">
        <v>786</v>
      </c>
      <c r="D768" t="str">
        <f>CONCATENATE("0060014252","")</f>
        <v>0060014252</v>
      </c>
      <c r="E768" t="str">
        <f>CONCATENATE("0120558000400       ","")</f>
        <v xml:space="preserve">0120558000400       </v>
      </c>
      <c r="F768" t="str">
        <f>CONCATENATE("605757452","")</f>
        <v>605757452</v>
      </c>
      <c r="G768" t="s">
        <v>1356</v>
      </c>
      <c r="H768" t="s">
        <v>1363</v>
      </c>
      <c r="I768" t="s">
        <v>1362</v>
      </c>
      <c r="J768" t="str">
        <f t="shared" si="91"/>
        <v>081210</v>
      </c>
      <c r="K768" t="s">
        <v>22</v>
      </c>
      <c r="L768" t="s">
        <v>23</v>
      </c>
      <c r="M768" t="str">
        <f t="shared" si="88"/>
        <v>1</v>
      </c>
      <c r="O768" t="str">
        <f t="shared" si="92"/>
        <v xml:space="preserve">1 </v>
      </c>
      <c r="P768">
        <v>13.5</v>
      </c>
      <c r="Q768" t="s">
        <v>24</v>
      </c>
    </row>
    <row r="769" spans="1:17" x14ac:dyDescent="0.25">
      <c r="A769" t="s">
        <v>17</v>
      </c>
      <c r="B769" s="1">
        <v>41718</v>
      </c>
      <c r="C769" t="s">
        <v>786</v>
      </c>
      <c r="D769" t="str">
        <f>CONCATENATE("0060014500","")</f>
        <v>0060014500</v>
      </c>
      <c r="E769" t="str">
        <f>CONCATENATE("0120558000404       ","")</f>
        <v xml:space="preserve">0120558000404       </v>
      </c>
      <c r="F769" t="str">
        <f>CONCATENATE("605940406","")</f>
        <v>605940406</v>
      </c>
      <c r="G769" t="s">
        <v>1356</v>
      </c>
      <c r="H769" t="s">
        <v>1364</v>
      </c>
      <c r="I769" t="s">
        <v>1365</v>
      </c>
      <c r="J769" t="str">
        <f t="shared" si="91"/>
        <v>081210</v>
      </c>
      <c r="K769" t="s">
        <v>22</v>
      </c>
      <c r="L769" t="s">
        <v>23</v>
      </c>
      <c r="M769" t="str">
        <f t="shared" si="88"/>
        <v>1</v>
      </c>
      <c r="O769" t="str">
        <f t="shared" si="92"/>
        <v xml:space="preserve">1 </v>
      </c>
      <c r="P769">
        <v>12.7</v>
      </c>
      <c r="Q769" t="s">
        <v>24</v>
      </c>
    </row>
    <row r="770" spans="1:17" x14ac:dyDescent="0.25">
      <c r="A770" t="s">
        <v>17</v>
      </c>
      <c r="B770" s="1">
        <v>41718</v>
      </c>
      <c r="C770" t="s">
        <v>786</v>
      </c>
      <c r="D770" t="str">
        <f>CONCATENATE("0060014235","")</f>
        <v>0060014235</v>
      </c>
      <c r="E770" t="str">
        <f>CONCATENATE("0120558000415       ","")</f>
        <v xml:space="preserve">0120558000415       </v>
      </c>
      <c r="F770" t="str">
        <f>CONCATENATE("605757431","")</f>
        <v>605757431</v>
      </c>
      <c r="G770" t="s">
        <v>1356</v>
      </c>
      <c r="H770" t="s">
        <v>1366</v>
      </c>
      <c r="I770" t="s">
        <v>1362</v>
      </c>
      <c r="J770" t="str">
        <f t="shared" si="91"/>
        <v>081210</v>
      </c>
      <c r="K770" t="s">
        <v>22</v>
      </c>
      <c r="L770" t="s">
        <v>23</v>
      </c>
      <c r="M770" t="str">
        <f t="shared" si="88"/>
        <v>1</v>
      </c>
      <c r="O770" t="str">
        <f t="shared" si="92"/>
        <v xml:space="preserve">1 </v>
      </c>
      <c r="P770">
        <v>23.3</v>
      </c>
      <c r="Q770" t="s">
        <v>24</v>
      </c>
    </row>
    <row r="771" spans="1:17" x14ac:dyDescent="0.25">
      <c r="A771" t="s">
        <v>17</v>
      </c>
      <c r="B771" s="1">
        <v>41718</v>
      </c>
      <c r="C771" t="s">
        <v>786</v>
      </c>
      <c r="D771" t="str">
        <f>CONCATENATE("0060014258","")</f>
        <v>0060014258</v>
      </c>
      <c r="E771" t="str">
        <f>CONCATENATE("0120558000450       ","")</f>
        <v xml:space="preserve">0120558000450       </v>
      </c>
      <c r="F771" t="str">
        <f>CONCATENATE("605757436","")</f>
        <v>605757436</v>
      </c>
      <c r="G771" t="s">
        <v>1351</v>
      </c>
      <c r="H771" t="s">
        <v>1013</v>
      </c>
      <c r="I771" t="s">
        <v>1367</v>
      </c>
      <c r="J771" t="str">
        <f t="shared" si="91"/>
        <v>081210</v>
      </c>
      <c r="K771" t="s">
        <v>22</v>
      </c>
      <c r="L771" t="s">
        <v>23</v>
      </c>
      <c r="M771" t="str">
        <f t="shared" si="88"/>
        <v>1</v>
      </c>
      <c r="O771" t="str">
        <f t="shared" si="92"/>
        <v xml:space="preserve">1 </v>
      </c>
      <c r="P771">
        <v>14.5</v>
      </c>
      <c r="Q771" t="s">
        <v>24</v>
      </c>
    </row>
    <row r="772" spans="1:17" x14ac:dyDescent="0.25">
      <c r="A772" t="s">
        <v>17</v>
      </c>
      <c r="B772" s="1">
        <v>41718</v>
      </c>
      <c r="C772" t="s">
        <v>786</v>
      </c>
      <c r="D772" t="str">
        <f>CONCATENATE("0060014266","")</f>
        <v>0060014266</v>
      </c>
      <c r="E772" t="str">
        <f>CONCATENATE("0120558000460       ","")</f>
        <v xml:space="preserve">0120558000460       </v>
      </c>
      <c r="F772" t="str">
        <f>CONCATENATE("605757433","")</f>
        <v>605757433</v>
      </c>
      <c r="G772" t="s">
        <v>1351</v>
      </c>
      <c r="H772" t="s">
        <v>1368</v>
      </c>
      <c r="I772" t="s">
        <v>1369</v>
      </c>
      <c r="J772" t="str">
        <f t="shared" si="91"/>
        <v>081210</v>
      </c>
      <c r="K772" t="s">
        <v>22</v>
      </c>
      <c r="L772" t="s">
        <v>23</v>
      </c>
      <c r="M772" t="str">
        <f t="shared" si="88"/>
        <v>1</v>
      </c>
      <c r="O772" t="str">
        <f t="shared" si="92"/>
        <v xml:space="preserve">1 </v>
      </c>
      <c r="P772">
        <v>14.5</v>
      </c>
      <c r="Q772" t="s">
        <v>24</v>
      </c>
    </row>
    <row r="773" spans="1:17" x14ac:dyDescent="0.25">
      <c r="A773" t="s">
        <v>17</v>
      </c>
      <c r="B773" s="1">
        <v>41718</v>
      </c>
      <c r="C773" t="s">
        <v>786</v>
      </c>
      <c r="D773" t="str">
        <f>CONCATENATE("0060014262","")</f>
        <v>0060014262</v>
      </c>
      <c r="E773" t="str">
        <f>CONCATENATE("0120558000470       ","")</f>
        <v xml:space="preserve">0120558000470       </v>
      </c>
      <c r="F773" t="str">
        <f>CONCATENATE("605757445","")</f>
        <v>605757445</v>
      </c>
      <c r="G773" t="s">
        <v>1351</v>
      </c>
      <c r="H773" t="s">
        <v>1370</v>
      </c>
      <c r="I773" t="s">
        <v>1369</v>
      </c>
      <c r="J773" t="str">
        <f t="shared" si="91"/>
        <v>081210</v>
      </c>
      <c r="K773" t="s">
        <v>22</v>
      </c>
      <c r="L773" t="s">
        <v>23</v>
      </c>
      <c r="M773" t="str">
        <f t="shared" si="88"/>
        <v>1</v>
      </c>
      <c r="O773" t="str">
        <f>CONCATENATE("2 ","")</f>
        <v xml:space="preserve">2 </v>
      </c>
      <c r="P773">
        <v>30.15</v>
      </c>
      <c r="Q773" t="s">
        <v>24</v>
      </c>
    </row>
    <row r="774" spans="1:17" x14ac:dyDescent="0.25">
      <c r="A774" t="s">
        <v>17</v>
      </c>
      <c r="B774" s="1">
        <v>41718</v>
      </c>
      <c r="C774" t="s">
        <v>786</v>
      </c>
      <c r="D774" t="str">
        <f>CONCATENATE("0060014800","")</f>
        <v>0060014800</v>
      </c>
      <c r="E774" t="str">
        <f>CONCATENATE("0120558000482       ","")</f>
        <v xml:space="preserve">0120558000482       </v>
      </c>
      <c r="F774" t="str">
        <f>CONCATENATE("605946215","")</f>
        <v>605946215</v>
      </c>
      <c r="G774" t="s">
        <v>1351</v>
      </c>
      <c r="H774" t="s">
        <v>1371</v>
      </c>
      <c r="I774" t="s">
        <v>1372</v>
      </c>
      <c r="J774" t="str">
        <f t="shared" si="91"/>
        <v>081210</v>
      </c>
      <c r="K774" t="s">
        <v>22</v>
      </c>
      <c r="L774" t="s">
        <v>23</v>
      </c>
      <c r="M774" t="str">
        <f t="shared" si="88"/>
        <v>1</v>
      </c>
      <c r="O774" t="str">
        <f>CONCATENATE("1 ","")</f>
        <v xml:space="preserve">1 </v>
      </c>
      <c r="P774">
        <v>18.149999999999999</v>
      </c>
      <c r="Q774" t="s">
        <v>24</v>
      </c>
    </row>
    <row r="775" spans="1:17" x14ac:dyDescent="0.25">
      <c r="A775" t="s">
        <v>17</v>
      </c>
      <c r="B775" s="1">
        <v>41718</v>
      </c>
      <c r="C775" t="s">
        <v>786</v>
      </c>
      <c r="D775" t="str">
        <f>CONCATENATE("0060015094","")</f>
        <v>0060015094</v>
      </c>
      <c r="E775" t="str">
        <f>CONCATENATE("0120559000120       ","")</f>
        <v xml:space="preserve">0120559000120       </v>
      </c>
      <c r="F775" t="str">
        <f>CONCATENATE("605932595","")</f>
        <v>605932595</v>
      </c>
      <c r="G775" t="s">
        <v>1373</v>
      </c>
      <c r="H775" t="s">
        <v>1374</v>
      </c>
      <c r="I775" t="s">
        <v>1375</v>
      </c>
      <c r="J775" t="str">
        <f t="shared" si="91"/>
        <v>081210</v>
      </c>
      <c r="K775" t="s">
        <v>22</v>
      </c>
      <c r="L775" t="s">
        <v>23</v>
      </c>
      <c r="M775" t="str">
        <f t="shared" si="88"/>
        <v>1</v>
      </c>
      <c r="O775" t="str">
        <f>CONCATENATE("2 ","")</f>
        <v xml:space="preserve">2 </v>
      </c>
      <c r="P775">
        <v>24.65</v>
      </c>
      <c r="Q775" t="s">
        <v>24</v>
      </c>
    </row>
    <row r="776" spans="1:17" x14ac:dyDescent="0.25">
      <c r="A776" t="s">
        <v>17</v>
      </c>
      <c r="B776" s="1">
        <v>41718</v>
      </c>
      <c r="C776" t="s">
        <v>786</v>
      </c>
      <c r="D776" t="str">
        <f>CONCATENATE("0060015097","")</f>
        <v>0060015097</v>
      </c>
      <c r="E776" t="str">
        <f>CONCATENATE("0120559000200       ","")</f>
        <v xml:space="preserve">0120559000200       </v>
      </c>
      <c r="F776" t="str">
        <f>CONCATENATE("605932599","")</f>
        <v>605932599</v>
      </c>
      <c r="G776" t="s">
        <v>1373</v>
      </c>
      <c r="H776" t="s">
        <v>1376</v>
      </c>
      <c r="I776" t="s">
        <v>1375</v>
      </c>
      <c r="J776" t="str">
        <f t="shared" si="91"/>
        <v>081210</v>
      </c>
      <c r="K776" t="s">
        <v>22</v>
      </c>
      <c r="L776" t="s">
        <v>23</v>
      </c>
      <c r="M776" t="str">
        <f t="shared" si="88"/>
        <v>1</v>
      </c>
      <c r="O776" t="str">
        <f>CONCATENATE("1 ","")</f>
        <v xml:space="preserve">1 </v>
      </c>
      <c r="P776">
        <v>13.4</v>
      </c>
      <c r="Q776" t="s">
        <v>24</v>
      </c>
    </row>
    <row r="777" spans="1:17" x14ac:dyDescent="0.25">
      <c r="A777" t="s">
        <v>17</v>
      </c>
      <c r="B777" s="1">
        <v>41718</v>
      </c>
      <c r="C777" t="s">
        <v>786</v>
      </c>
      <c r="D777" t="str">
        <f>CONCATENATE("0060015089","")</f>
        <v>0060015089</v>
      </c>
      <c r="E777" t="str">
        <f>CONCATENATE("0120559000250       ","")</f>
        <v xml:space="preserve">0120559000250       </v>
      </c>
      <c r="F777" t="str">
        <f>CONCATENATE("605932608","")</f>
        <v>605932608</v>
      </c>
      <c r="G777" t="s">
        <v>1373</v>
      </c>
      <c r="H777" t="s">
        <v>1377</v>
      </c>
      <c r="I777" t="s">
        <v>1378</v>
      </c>
      <c r="J777" t="str">
        <f t="shared" si="91"/>
        <v>081210</v>
      </c>
      <c r="K777" t="s">
        <v>22</v>
      </c>
      <c r="L777" t="s">
        <v>23</v>
      </c>
      <c r="M777" t="str">
        <f t="shared" si="88"/>
        <v>1</v>
      </c>
      <c r="O777" t="str">
        <f>CONCATENATE("1 ","")</f>
        <v xml:space="preserve">1 </v>
      </c>
      <c r="P777">
        <v>27.4</v>
      </c>
      <c r="Q777" t="s">
        <v>24</v>
      </c>
    </row>
    <row r="778" spans="1:17" x14ac:dyDescent="0.25">
      <c r="A778" t="s">
        <v>17</v>
      </c>
      <c r="B778" s="1">
        <v>41718</v>
      </c>
      <c r="C778" t="s">
        <v>786</v>
      </c>
      <c r="D778" t="str">
        <f>CONCATENATE("0060015284","")</f>
        <v>0060015284</v>
      </c>
      <c r="E778" t="str">
        <f>CONCATENATE("0120559000290       ","")</f>
        <v xml:space="preserve">0120559000290       </v>
      </c>
      <c r="F778" t="str">
        <f>CONCATENATE("605931228","")</f>
        <v>605931228</v>
      </c>
      <c r="G778" t="s">
        <v>1373</v>
      </c>
      <c r="H778" t="s">
        <v>1379</v>
      </c>
      <c r="I778" t="s">
        <v>1375</v>
      </c>
      <c r="J778" t="str">
        <f t="shared" si="91"/>
        <v>081210</v>
      </c>
      <c r="K778" t="s">
        <v>22</v>
      </c>
      <c r="L778" t="s">
        <v>23</v>
      </c>
      <c r="M778" t="str">
        <f t="shared" si="88"/>
        <v>1</v>
      </c>
      <c r="O778" t="str">
        <f>CONCATENATE("6 ","")</f>
        <v xml:space="preserve">6 </v>
      </c>
      <c r="P778">
        <v>43.25</v>
      </c>
      <c r="Q778" t="s">
        <v>24</v>
      </c>
    </row>
    <row r="779" spans="1:17" x14ac:dyDescent="0.25">
      <c r="A779" t="s">
        <v>17</v>
      </c>
      <c r="B779" s="1">
        <v>41718</v>
      </c>
      <c r="C779" t="s">
        <v>786</v>
      </c>
      <c r="D779" t="str">
        <f>CONCATENATE("0060015081","")</f>
        <v>0060015081</v>
      </c>
      <c r="E779" t="str">
        <f>CONCATENATE("0120560000220       ","")</f>
        <v xml:space="preserve">0120560000220       </v>
      </c>
      <c r="F779" t="str">
        <f>CONCATENATE("605942434","")</f>
        <v>605942434</v>
      </c>
      <c r="G779" t="s">
        <v>1380</v>
      </c>
      <c r="H779" t="s">
        <v>1381</v>
      </c>
      <c r="I779" t="s">
        <v>1382</v>
      </c>
      <c r="J779" t="str">
        <f t="shared" si="91"/>
        <v>081210</v>
      </c>
      <c r="K779" t="s">
        <v>22</v>
      </c>
      <c r="L779" t="s">
        <v>23</v>
      </c>
      <c r="M779" t="str">
        <f t="shared" si="88"/>
        <v>1</v>
      </c>
      <c r="O779" t="str">
        <f>CONCATENATE("1 ","")</f>
        <v xml:space="preserve">1 </v>
      </c>
      <c r="P779">
        <v>14.15</v>
      </c>
      <c r="Q779" t="s">
        <v>24</v>
      </c>
    </row>
    <row r="780" spans="1:17" x14ac:dyDescent="0.25">
      <c r="A780" t="s">
        <v>17</v>
      </c>
      <c r="B780" s="1">
        <v>41718</v>
      </c>
      <c r="C780" t="s">
        <v>786</v>
      </c>
      <c r="D780" t="str">
        <f>CONCATENATE("0060015070","")</f>
        <v>0060015070</v>
      </c>
      <c r="E780" t="str">
        <f>CONCATENATE("0120560000230       ","")</f>
        <v xml:space="preserve">0120560000230       </v>
      </c>
      <c r="F780" t="str">
        <f>CONCATENATE("605942426","")</f>
        <v>605942426</v>
      </c>
      <c r="G780" t="s">
        <v>1380</v>
      </c>
      <c r="H780" t="s">
        <v>1383</v>
      </c>
      <c r="I780" t="s">
        <v>1384</v>
      </c>
      <c r="J780" t="str">
        <f t="shared" si="91"/>
        <v>081210</v>
      </c>
      <c r="K780" t="s">
        <v>22</v>
      </c>
      <c r="L780" t="s">
        <v>23</v>
      </c>
      <c r="M780" t="str">
        <f t="shared" si="88"/>
        <v>1</v>
      </c>
      <c r="O780" t="str">
        <f>CONCATENATE("1 ","")</f>
        <v xml:space="preserve">1 </v>
      </c>
      <c r="P780">
        <v>12.7</v>
      </c>
      <c r="Q780" t="s">
        <v>24</v>
      </c>
    </row>
    <row r="781" spans="1:17" x14ac:dyDescent="0.25">
      <c r="A781" t="s">
        <v>17</v>
      </c>
      <c r="B781" s="1">
        <v>41718</v>
      </c>
      <c r="C781" t="s">
        <v>786</v>
      </c>
      <c r="D781" t="str">
        <f>CONCATENATE("0060015296","")</f>
        <v>0060015296</v>
      </c>
      <c r="E781" t="str">
        <f>CONCATENATE("0120561000180       ","")</f>
        <v xml:space="preserve">0120561000180       </v>
      </c>
      <c r="F781" t="str">
        <f>CONCATENATE("605931203","")</f>
        <v>605931203</v>
      </c>
      <c r="G781" t="s">
        <v>1385</v>
      </c>
      <c r="H781" t="s">
        <v>1386</v>
      </c>
      <c r="I781" t="s">
        <v>1387</v>
      </c>
      <c r="J781" t="str">
        <f t="shared" si="91"/>
        <v>081210</v>
      </c>
      <c r="K781" t="s">
        <v>22</v>
      </c>
      <c r="L781" t="s">
        <v>23</v>
      </c>
      <c r="M781" t="str">
        <f t="shared" si="88"/>
        <v>1</v>
      </c>
      <c r="O781" t="str">
        <f>CONCATENATE("2 ","")</f>
        <v xml:space="preserve">2 </v>
      </c>
      <c r="P781">
        <v>18.05</v>
      </c>
      <c r="Q781" t="s">
        <v>24</v>
      </c>
    </row>
    <row r="782" spans="1:17" x14ac:dyDescent="0.25">
      <c r="A782" t="s">
        <v>17</v>
      </c>
      <c r="B782" s="1">
        <v>41718</v>
      </c>
      <c r="C782" t="s">
        <v>786</v>
      </c>
      <c r="D782" t="str">
        <f>CONCATENATE("0060015332","")</f>
        <v>0060015332</v>
      </c>
      <c r="E782" t="str">
        <f>CONCATENATE("0120561000190       ","")</f>
        <v xml:space="preserve">0120561000190       </v>
      </c>
      <c r="F782" t="str">
        <f>CONCATENATE("605931213","")</f>
        <v>605931213</v>
      </c>
      <c r="G782" t="s">
        <v>1385</v>
      </c>
      <c r="H782" t="s">
        <v>1388</v>
      </c>
      <c r="I782" t="s">
        <v>1387</v>
      </c>
      <c r="J782" t="str">
        <f t="shared" si="91"/>
        <v>081210</v>
      </c>
      <c r="K782" t="s">
        <v>22</v>
      </c>
      <c r="L782" t="s">
        <v>23</v>
      </c>
      <c r="M782" t="str">
        <f t="shared" si="88"/>
        <v>1</v>
      </c>
      <c r="O782" t="str">
        <f>CONCATENATE("2 ","")</f>
        <v xml:space="preserve">2 </v>
      </c>
      <c r="P782">
        <v>21.45</v>
      </c>
      <c r="Q782" t="s">
        <v>24</v>
      </c>
    </row>
    <row r="783" spans="1:17" x14ac:dyDescent="0.25">
      <c r="A783" t="s">
        <v>17</v>
      </c>
      <c r="B783" s="1">
        <v>41718</v>
      </c>
      <c r="C783" t="s">
        <v>786</v>
      </c>
      <c r="D783" t="str">
        <f>CONCATENATE("0060015128","")</f>
        <v>0060015128</v>
      </c>
      <c r="E783" t="str">
        <f>CONCATENATE("0120562000010       ","")</f>
        <v xml:space="preserve">0120562000010       </v>
      </c>
      <c r="F783" t="str">
        <f>CONCATENATE("605933734","")</f>
        <v>605933734</v>
      </c>
      <c r="G783" t="s">
        <v>1389</v>
      </c>
      <c r="H783" t="s">
        <v>1390</v>
      </c>
      <c r="I783" t="s">
        <v>1391</v>
      </c>
      <c r="J783" t="str">
        <f t="shared" si="91"/>
        <v>081210</v>
      </c>
      <c r="K783" t="s">
        <v>22</v>
      </c>
      <c r="L783" t="s">
        <v>23</v>
      </c>
      <c r="M783" t="str">
        <f t="shared" si="88"/>
        <v>1</v>
      </c>
      <c r="O783" t="str">
        <f>CONCATENATE("1 ","")</f>
        <v xml:space="preserve">1 </v>
      </c>
      <c r="P783">
        <v>18.600000000000001</v>
      </c>
      <c r="Q783" t="s">
        <v>24</v>
      </c>
    </row>
    <row r="784" spans="1:17" x14ac:dyDescent="0.25">
      <c r="A784" t="s">
        <v>17</v>
      </c>
      <c r="B784" s="1">
        <v>41718</v>
      </c>
      <c r="C784" t="s">
        <v>786</v>
      </c>
      <c r="D784" t="str">
        <f>CONCATENATE("0060015120","")</f>
        <v>0060015120</v>
      </c>
      <c r="E784" t="str">
        <f>CONCATENATE("0120562000020       ","")</f>
        <v xml:space="preserve">0120562000020       </v>
      </c>
      <c r="F784" t="str">
        <f>CONCATENATE("605933722","")</f>
        <v>605933722</v>
      </c>
      <c r="G784" t="s">
        <v>1389</v>
      </c>
      <c r="H784" t="s">
        <v>1392</v>
      </c>
      <c r="I784" t="s">
        <v>1391</v>
      </c>
      <c r="J784" t="str">
        <f t="shared" si="91"/>
        <v>081210</v>
      </c>
      <c r="K784" t="s">
        <v>22</v>
      </c>
      <c r="L784" t="s">
        <v>23</v>
      </c>
      <c r="M784" t="str">
        <f t="shared" si="88"/>
        <v>1</v>
      </c>
      <c r="O784" t="str">
        <f>CONCATENATE("1 ","")</f>
        <v xml:space="preserve">1 </v>
      </c>
      <c r="P784">
        <v>11.2</v>
      </c>
      <c r="Q784" t="s">
        <v>24</v>
      </c>
    </row>
    <row r="785" spans="1:17" x14ac:dyDescent="0.25">
      <c r="A785" t="s">
        <v>17</v>
      </c>
      <c r="B785" s="1">
        <v>41718</v>
      </c>
      <c r="C785" t="s">
        <v>786</v>
      </c>
      <c r="D785" t="str">
        <f>CONCATENATE("0060015126","")</f>
        <v>0060015126</v>
      </c>
      <c r="E785" t="str">
        <f>CONCATENATE("0120562000040       ","")</f>
        <v xml:space="preserve">0120562000040       </v>
      </c>
      <c r="F785" t="str">
        <f>CONCATENATE("605933726","")</f>
        <v>605933726</v>
      </c>
      <c r="G785" t="s">
        <v>1389</v>
      </c>
      <c r="H785" t="s">
        <v>1393</v>
      </c>
      <c r="I785" t="s">
        <v>1391</v>
      </c>
      <c r="J785" t="str">
        <f t="shared" si="91"/>
        <v>081210</v>
      </c>
      <c r="K785" t="s">
        <v>22</v>
      </c>
      <c r="L785" t="s">
        <v>23</v>
      </c>
      <c r="M785" t="str">
        <f t="shared" si="88"/>
        <v>1</v>
      </c>
      <c r="O785" t="str">
        <f>CONCATENATE("1 ","")</f>
        <v xml:space="preserve">1 </v>
      </c>
      <c r="P785">
        <v>17.850000000000001</v>
      </c>
      <c r="Q785" t="s">
        <v>24</v>
      </c>
    </row>
    <row r="786" spans="1:17" x14ac:dyDescent="0.25">
      <c r="A786" t="s">
        <v>17</v>
      </c>
      <c r="B786" s="1">
        <v>41718</v>
      </c>
      <c r="C786" t="s">
        <v>786</v>
      </c>
      <c r="D786" t="str">
        <f>CONCATENATE("0060015131","")</f>
        <v>0060015131</v>
      </c>
      <c r="E786" t="str">
        <f>CONCATENATE("0120562000050       ","")</f>
        <v xml:space="preserve">0120562000050       </v>
      </c>
      <c r="F786" t="str">
        <f>CONCATENATE("605941551","")</f>
        <v>605941551</v>
      </c>
      <c r="G786" t="s">
        <v>1389</v>
      </c>
      <c r="H786" t="s">
        <v>1394</v>
      </c>
      <c r="I786" t="s">
        <v>1391</v>
      </c>
      <c r="J786" t="str">
        <f t="shared" si="91"/>
        <v>081210</v>
      </c>
      <c r="K786" t="s">
        <v>22</v>
      </c>
      <c r="L786" t="s">
        <v>23</v>
      </c>
      <c r="M786" t="str">
        <f t="shared" si="88"/>
        <v>1</v>
      </c>
      <c r="O786" t="str">
        <f>CONCATENATE("1 ","")</f>
        <v xml:space="preserve">1 </v>
      </c>
      <c r="P786">
        <v>23.4</v>
      </c>
      <c r="Q786" t="s">
        <v>24</v>
      </c>
    </row>
    <row r="787" spans="1:17" x14ac:dyDescent="0.25">
      <c r="A787" t="s">
        <v>17</v>
      </c>
      <c r="B787" s="1">
        <v>41718</v>
      </c>
      <c r="C787" t="s">
        <v>786</v>
      </c>
      <c r="D787" t="str">
        <f>CONCATENATE("0060015140","")</f>
        <v>0060015140</v>
      </c>
      <c r="E787" t="str">
        <f>CONCATENATE("0120562000060       ","")</f>
        <v xml:space="preserve">0120562000060       </v>
      </c>
      <c r="F787" t="str">
        <f>CONCATENATE("605933727","")</f>
        <v>605933727</v>
      </c>
      <c r="G787" t="s">
        <v>1389</v>
      </c>
      <c r="H787" t="s">
        <v>1395</v>
      </c>
      <c r="I787" t="s">
        <v>1391</v>
      </c>
      <c r="J787" t="str">
        <f t="shared" si="91"/>
        <v>081210</v>
      </c>
      <c r="K787" t="s">
        <v>22</v>
      </c>
      <c r="L787" t="s">
        <v>23</v>
      </c>
      <c r="M787" t="str">
        <f t="shared" si="88"/>
        <v>1</v>
      </c>
      <c r="O787" t="str">
        <f>CONCATENATE("1 ","")</f>
        <v xml:space="preserve">1 </v>
      </c>
      <c r="P787">
        <v>12.7</v>
      </c>
      <c r="Q787" t="s">
        <v>24</v>
      </c>
    </row>
    <row r="788" spans="1:17" x14ac:dyDescent="0.25">
      <c r="A788" t="s">
        <v>17</v>
      </c>
      <c r="B788" s="1">
        <v>41718</v>
      </c>
      <c r="C788" t="s">
        <v>786</v>
      </c>
      <c r="D788" t="str">
        <f>CONCATENATE("0060015121","")</f>
        <v>0060015121</v>
      </c>
      <c r="E788" t="str">
        <f>CONCATENATE("0120562000070       ","")</f>
        <v xml:space="preserve">0120562000070       </v>
      </c>
      <c r="F788" t="str">
        <f>CONCATENATE("605933730","")</f>
        <v>605933730</v>
      </c>
      <c r="G788" t="s">
        <v>1389</v>
      </c>
      <c r="H788" t="s">
        <v>1396</v>
      </c>
      <c r="I788" t="s">
        <v>1391</v>
      </c>
      <c r="J788" t="str">
        <f t="shared" si="91"/>
        <v>081210</v>
      </c>
      <c r="K788" t="s">
        <v>22</v>
      </c>
      <c r="L788" t="s">
        <v>23</v>
      </c>
      <c r="M788" t="str">
        <f t="shared" si="88"/>
        <v>1</v>
      </c>
      <c r="O788" t="str">
        <f>CONCATENATE("3 ","")</f>
        <v xml:space="preserve">3 </v>
      </c>
      <c r="P788">
        <v>58.1</v>
      </c>
      <c r="Q788" t="s">
        <v>24</v>
      </c>
    </row>
    <row r="789" spans="1:17" x14ac:dyDescent="0.25">
      <c r="A789" t="s">
        <v>17</v>
      </c>
      <c r="B789" s="1">
        <v>41718</v>
      </c>
      <c r="C789" t="s">
        <v>786</v>
      </c>
      <c r="D789" t="str">
        <f>CONCATENATE("0060015127","")</f>
        <v>0060015127</v>
      </c>
      <c r="E789" t="str">
        <f>CONCATENATE("0120562000090       ","")</f>
        <v xml:space="preserve">0120562000090       </v>
      </c>
      <c r="F789" t="str">
        <f>CONCATENATE("605933731","")</f>
        <v>605933731</v>
      </c>
      <c r="G789" t="s">
        <v>1389</v>
      </c>
      <c r="H789" t="s">
        <v>1397</v>
      </c>
      <c r="I789" t="s">
        <v>1391</v>
      </c>
      <c r="J789" t="str">
        <f t="shared" si="91"/>
        <v>081210</v>
      </c>
      <c r="K789" t="s">
        <v>22</v>
      </c>
      <c r="L789" t="s">
        <v>23</v>
      </c>
      <c r="M789" t="str">
        <f t="shared" si="88"/>
        <v>1</v>
      </c>
      <c r="O789" t="str">
        <f>CONCATENATE("1 ","")</f>
        <v xml:space="preserve">1 </v>
      </c>
      <c r="P789">
        <v>19.75</v>
      </c>
      <c r="Q789" t="s">
        <v>24</v>
      </c>
    </row>
    <row r="790" spans="1:17" x14ac:dyDescent="0.25">
      <c r="A790" t="s">
        <v>17</v>
      </c>
      <c r="B790" s="1">
        <v>41718</v>
      </c>
      <c r="C790" t="s">
        <v>786</v>
      </c>
      <c r="D790" t="str">
        <f>CONCATENATE("0060015320","")</f>
        <v>0060015320</v>
      </c>
      <c r="E790" t="str">
        <f>CONCATENATE("0120562000130       ","")</f>
        <v xml:space="preserve">0120562000130       </v>
      </c>
      <c r="F790" t="str">
        <f>CONCATENATE("605942460","")</f>
        <v>605942460</v>
      </c>
      <c r="G790" t="s">
        <v>1389</v>
      </c>
      <c r="H790" t="s">
        <v>1398</v>
      </c>
      <c r="I790" t="s">
        <v>1391</v>
      </c>
      <c r="J790" t="str">
        <f t="shared" si="91"/>
        <v>081210</v>
      </c>
      <c r="K790" t="s">
        <v>22</v>
      </c>
      <c r="L790" t="s">
        <v>23</v>
      </c>
      <c r="M790" t="str">
        <f t="shared" si="88"/>
        <v>1</v>
      </c>
      <c r="O790" t="str">
        <f>CONCATENATE("1 ","")</f>
        <v xml:space="preserve">1 </v>
      </c>
      <c r="P790">
        <v>14.15</v>
      </c>
      <c r="Q790" t="s">
        <v>24</v>
      </c>
    </row>
    <row r="791" spans="1:17" x14ac:dyDescent="0.25">
      <c r="A791" t="s">
        <v>17</v>
      </c>
      <c r="B791" s="1">
        <v>41718</v>
      </c>
      <c r="C791" t="s">
        <v>786</v>
      </c>
      <c r="D791" t="str">
        <f>CONCATENATE("0060015119","")</f>
        <v>0060015119</v>
      </c>
      <c r="E791" t="str">
        <f>CONCATENATE("0120562000140       ","")</f>
        <v xml:space="preserve">0120562000140       </v>
      </c>
      <c r="F791" t="str">
        <f>CONCATENATE("605933735","")</f>
        <v>605933735</v>
      </c>
      <c r="G791" t="s">
        <v>1389</v>
      </c>
      <c r="H791" t="s">
        <v>1399</v>
      </c>
      <c r="I791" t="s">
        <v>1400</v>
      </c>
      <c r="J791" t="str">
        <f t="shared" si="91"/>
        <v>081210</v>
      </c>
      <c r="K791" t="s">
        <v>22</v>
      </c>
      <c r="L791" t="s">
        <v>23</v>
      </c>
      <c r="M791" t="str">
        <f t="shared" si="88"/>
        <v>1</v>
      </c>
      <c r="O791" t="str">
        <f>CONCATENATE("1 ","")</f>
        <v xml:space="preserve">1 </v>
      </c>
      <c r="P791">
        <v>20.45</v>
      </c>
      <c r="Q791" t="s">
        <v>24</v>
      </c>
    </row>
    <row r="792" spans="1:17" x14ac:dyDescent="0.25">
      <c r="A792" t="s">
        <v>17</v>
      </c>
      <c r="B792" s="1">
        <v>41718</v>
      </c>
      <c r="C792" t="s">
        <v>786</v>
      </c>
      <c r="D792" t="str">
        <f>CONCATENATE("0060015321","")</f>
        <v>0060015321</v>
      </c>
      <c r="E792" t="str">
        <f>CONCATENATE("0120562000150       ","")</f>
        <v xml:space="preserve">0120562000150       </v>
      </c>
      <c r="F792" t="str">
        <f>CONCATENATE("605941527","")</f>
        <v>605941527</v>
      </c>
      <c r="G792" t="s">
        <v>1389</v>
      </c>
      <c r="H792" t="s">
        <v>1401</v>
      </c>
      <c r="I792" t="e">
        <f>-SECTOR-PALQAPAMPA-UPIS-OCONGA</f>
        <v>#NAME?</v>
      </c>
      <c r="J792" t="str">
        <f t="shared" si="91"/>
        <v>081210</v>
      </c>
      <c r="K792" t="s">
        <v>22</v>
      </c>
      <c r="L792" t="s">
        <v>23</v>
      </c>
      <c r="M792" t="str">
        <f t="shared" si="88"/>
        <v>1</v>
      </c>
      <c r="O792" t="str">
        <f>CONCATENATE("1 ","")</f>
        <v xml:space="preserve">1 </v>
      </c>
      <c r="P792">
        <v>10.45</v>
      </c>
      <c r="Q792" t="s">
        <v>24</v>
      </c>
    </row>
    <row r="793" spans="1:17" x14ac:dyDescent="0.25">
      <c r="A793" t="s">
        <v>17</v>
      </c>
      <c r="B793" s="1">
        <v>41718</v>
      </c>
      <c r="C793" t="s">
        <v>786</v>
      </c>
      <c r="D793" t="str">
        <f>CONCATENATE("0060015144","")</f>
        <v>0060015144</v>
      </c>
      <c r="E793" t="str">
        <f>CONCATENATE("0120562000160       ","")</f>
        <v xml:space="preserve">0120562000160       </v>
      </c>
      <c r="F793" t="str">
        <f>CONCATENATE("605941540","")</f>
        <v>605941540</v>
      </c>
      <c r="G793" t="s">
        <v>1389</v>
      </c>
      <c r="H793" t="s">
        <v>1292</v>
      </c>
      <c r="I793" t="s">
        <v>1391</v>
      </c>
      <c r="J793" t="str">
        <f t="shared" si="91"/>
        <v>081210</v>
      </c>
      <c r="K793" t="s">
        <v>22</v>
      </c>
      <c r="L793" t="s">
        <v>23</v>
      </c>
      <c r="M793" t="str">
        <f t="shared" si="88"/>
        <v>1</v>
      </c>
      <c r="O793" t="str">
        <f>CONCATENATE("2 ","")</f>
        <v xml:space="preserve">2 </v>
      </c>
      <c r="P793">
        <v>18.75</v>
      </c>
      <c r="Q793" t="s">
        <v>24</v>
      </c>
    </row>
    <row r="794" spans="1:17" x14ac:dyDescent="0.25">
      <c r="A794" t="s">
        <v>17</v>
      </c>
      <c r="B794" s="1">
        <v>41718</v>
      </c>
      <c r="C794" t="s">
        <v>786</v>
      </c>
      <c r="D794" t="str">
        <f>CONCATENATE("0060015130","")</f>
        <v>0060015130</v>
      </c>
      <c r="E794" t="str">
        <f>CONCATENATE("0120562000180       ","")</f>
        <v xml:space="preserve">0120562000180       </v>
      </c>
      <c r="F794" t="str">
        <f>CONCATENATE("605941523","")</f>
        <v>605941523</v>
      </c>
      <c r="G794" t="s">
        <v>1389</v>
      </c>
      <c r="H794" t="s">
        <v>1402</v>
      </c>
      <c r="I794" t="s">
        <v>1391</v>
      </c>
      <c r="J794" t="str">
        <f t="shared" si="91"/>
        <v>081210</v>
      </c>
      <c r="K794" t="s">
        <v>22</v>
      </c>
      <c r="L794" t="s">
        <v>23</v>
      </c>
      <c r="M794" t="str">
        <f t="shared" si="88"/>
        <v>1</v>
      </c>
      <c r="O794" t="str">
        <f>CONCATENATE("2 ","")</f>
        <v xml:space="preserve">2 </v>
      </c>
      <c r="P794">
        <v>29.4</v>
      </c>
      <c r="Q794" t="s">
        <v>24</v>
      </c>
    </row>
    <row r="795" spans="1:17" x14ac:dyDescent="0.25">
      <c r="A795" t="s">
        <v>17</v>
      </c>
      <c r="B795" s="1">
        <v>41718</v>
      </c>
      <c r="C795" t="s">
        <v>786</v>
      </c>
      <c r="D795" t="str">
        <f>CONCATENATE("0060015136","")</f>
        <v>0060015136</v>
      </c>
      <c r="E795" t="str">
        <f>CONCATENATE("0120562000190       ","")</f>
        <v xml:space="preserve">0120562000190       </v>
      </c>
      <c r="F795" t="str">
        <f>CONCATENATE("605933736","")</f>
        <v>605933736</v>
      </c>
      <c r="G795" t="s">
        <v>1389</v>
      </c>
      <c r="H795" t="s">
        <v>1403</v>
      </c>
      <c r="I795" t="s">
        <v>1391</v>
      </c>
      <c r="J795" t="str">
        <f t="shared" ref="J795:J826" si="93">CONCATENATE("081210","")</f>
        <v>081210</v>
      </c>
      <c r="K795" t="s">
        <v>22</v>
      </c>
      <c r="L795" t="s">
        <v>23</v>
      </c>
      <c r="M795" t="str">
        <f t="shared" si="88"/>
        <v>1</v>
      </c>
      <c r="O795" t="str">
        <f>CONCATENATE("1 ","")</f>
        <v xml:space="preserve">1 </v>
      </c>
      <c r="P795">
        <v>16.399999999999999</v>
      </c>
      <c r="Q795" t="s">
        <v>24</v>
      </c>
    </row>
    <row r="796" spans="1:17" x14ac:dyDescent="0.25">
      <c r="A796" t="s">
        <v>17</v>
      </c>
      <c r="B796" s="1">
        <v>41718</v>
      </c>
      <c r="C796" t="s">
        <v>786</v>
      </c>
      <c r="D796" t="str">
        <f>CONCATENATE("0060015132","")</f>
        <v>0060015132</v>
      </c>
      <c r="E796" t="str">
        <f>CONCATENATE("0120562000200       ","")</f>
        <v xml:space="preserve">0120562000200       </v>
      </c>
      <c r="F796" t="str">
        <f>CONCATENATE("605933732","")</f>
        <v>605933732</v>
      </c>
      <c r="G796" t="s">
        <v>1389</v>
      </c>
      <c r="H796" t="s">
        <v>1404</v>
      </c>
      <c r="I796" t="s">
        <v>1391</v>
      </c>
      <c r="J796" t="str">
        <f t="shared" si="93"/>
        <v>081210</v>
      </c>
      <c r="K796" t="s">
        <v>22</v>
      </c>
      <c r="L796" t="s">
        <v>23</v>
      </c>
      <c r="M796" t="str">
        <f t="shared" si="88"/>
        <v>1</v>
      </c>
      <c r="O796" t="str">
        <f>CONCATENATE("2 ","")</f>
        <v xml:space="preserve">2 </v>
      </c>
      <c r="P796">
        <v>38.200000000000003</v>
      </c>
      <c r="Q796" t="s">
        <v>24</v>
      </c>
    </row>
    <row r="797" spans="1:17" x14ac:dyDescent="0.25">
      <c r="A797" t="s">
        <v>17</v>
      </c>
      <c r="B797" s="1">
        <v>41718</v>
      </c>
      <c r="C797" t="s">
        <v>786</v>
      </c>
      <c r="D797" t="str">
        <f>CONCATENATE("0060015122","")</f>
        <v>0060015122</v>
      </c>
      <c r="E797" t="str">
        <f>CONCATENATE("0120562000210       ","")</f>
        <v xml:space="preserve">0120562000210       </v>
      </c>
      <c r="F797" t="str">
        <f>CONCATENATE("605933725","")</f>
        <v>605933725</v>
      </c>
      <c r="G797" t="s">
        <v>1389</v>
      </c>
      <c r="H797" t="s">
        <v>1019</v>
      </c>
      <c r="I797" t="s">
        <v>1391</v>
      </c>
      <c r="J797" t="str">
        <f t="shared" si="93"/>
        <v>081210</v>
      </c>
      <c r="K797" t="s">
        <v>22</v>
      </c>
      <c r="L797" t="s">
        <v>23</v>
      </c>
      <c r="M797" t="str">
        <f t="shared" si="88"/>
        <v>1</v>
      </c>
      <c r="O797" t="str">
        <f>CONCATENATE("1 ","")</f>
        <v xml:space="preserve">1 </v>
      </c>
      <c r="P797">
        <v>10.45</v>
      </c>
      <c r="Q797" t="s">
        <v>24</v>
      </c>
    </row>
    <row r="798" spans="1:17" x14ac:dyDescent="0.25">
      <c r="A798" t="s">
        <v>17</v>
      </c>
      <c r="B798" s="1">
        <v>41718</v>
      </c>
      <c r="C798" t="s">
        <v>786</v>
      </c>
      <c r="D798" t="str">
        <f>CONCATENATE("0060015141","")</f>
        <v>0060015141</v>
      </c>
      <c r="E798" t="str">
        <f>CONCATENATE("0120562000220       ","")</f>
        <v xml:space="preserve">0120562000220       </v>
      </c>
      <c r="F798" t="str">
        <f>CONCATENATE("605933723","")</f>
        <v>605933723</v>
      </c>
      <c r="G798" t="s">
        <v>1389</v>
      </c>
      <c r="H798" t="s">
        <v>1405</v>
      </c>
      <c r="I798" t="s">
        <v>1406</v>
      </c>
      <c r="J798" t="str">
        <f t="shared" si="93"/>
        <v>081210</v>
      </c>
      <c r="K798" t="s">
        <v>22</v>
      </c>
      <c r="L798" t="s">
        <v>23</v>
      </c>
      <c r="M798" t="str">
        <f t="shared" si="88"/>
        <v>1</v>
      </c>
      <c r="O798" t="str">
        <f>CONCATENATE("1 ","")</f>
        <v xml:space="preserve">1 </v>
      </c>
      <c r="P798">
        <v>16.8</v>
      </c>
      <c r="Q798" t="s">
        <v>24</v>
      </c>
    </row>
    <row r="799" spans="1:17" x14ac:dyDescent="0.25">
      <c r="A799" t="s">
        <v>17</v>
      </c>
      <c r="B799" s="1">
        <v>41718</v>
      </c>
      <c r="C799" t="s">
        <v>786</v>
      </c>
      <c r="D799" t="str">
        <f>CONCATENATE("0060015137","")</f>
        <v>0060015137</v>
      </c>
      <c r="E799" t="str">
        <f>CONCATENATE("0120562000230       ","")</f>
        <v xml:space="preserve">0120562000230       </v>
      </c>
      <c r="F799" t="str">
        <f>CONCATENATE("605933728","")</f>
        <v>605933728</v>
      </c>
      <c r="G799" t="s">
        <v>1389</v>
      </c>
      <c r="H799" t="s">
        <v>1407</v>
      </c>
      <c r="I799" t="s">
        <v>1391</v>
      </c>
      <c r="J799" t="str">
        <f t="shared" si="93"/>
        <v>081210</v>
      </c>
      <c r="K799" t="s">
        <v>22</v>
      </c>
      <c r="L799" t="s">
        <v>23</v>
      </c>
      <c r="M799" t="str">
        <f t="shared" si="88"/>
        <v>1</v>
      </c>
      <c r="O799" t="str">
        <f>CONCATENATE("1 ","")</f>
        <v xml:space="preserve">1 </v>
      </c>
      <c r="P799">
        <v>17.850000000000001</v>
      </c>
      <c r="Q799" t="s">
        <v>24</v>
      </c>
    </row>
    <row r="800" spans="1:17" x14ac:dyDescent="0.25">
      <c r="A800" t="s">
        <v>17</v>
      </c>
      <c r="B800" s="1">
        <v>41718</v>
      </c>
      <c r="C800" t="s">
        <v>786</v>
      </c>
      <c r="D800" t="str">
        <f>CONCATENATE("0060015134","")</f>
        <v>0060015134</v>
      </c>
      <c r="E800" t="str">
        <f>CONCATENATE("0120562000240       ","")</f>
        <v xml:space="preserve">0120562000240       </v>
      </c>
      <c r="F800" t="str">
        <f>CONCATENATE("605933733","")</f>
        <v>605933733</v>
      </c>
      <c r="G800" t="s">
        <v>1389</v>
      </c>
      <c r="H800" t="s">
        <v>1408</v>
      </c>
      <c r="I800" t="s">
        <v>1391</v>
      </c>
      <c r="J800" t="str">
        <f t="shared" si="93"/>
        <v>081210</v>
      </c>
      <c r="K800" t="s">
        <v>22</v>
      </c>
      <c r="L800" t="s">
        <v>23</v>
      </c>
      <c r="M800" t="str">
        <f t="shared" si="88"/>
        <v>1</v>
      </c>
      <c r="O800" t="str">
        <f>CONCATENATE("3 ","")</f>
        <v xml:space="preserve">3 </v>
      </c>
      <c r="P800">
        <v>49.9</v>
      </c>
      <c r="Q800" t="s">
        <v>24</v>
      </c>
    </row>
    <row r="801" spans="1:17" x14ac:dyDescent="0.25">
      <c r="A801" t="s">
        <v>17</v>
      </c>
      <c r="B801" s="1">
        <v>41718</v>
      </c>
      <c r="C801" t="s">
        <v>786</v>
      </c>
      <c r="D801" t="str">
        <f>CONCATENATE("0060015142","")</f>
        <v>0060015142</v>
      </c>
      <c r="E801" t="str">
        <f>CONCATENATE("0120562000300       ","")</f>
        <v xml:space="preserve">0120562000300       </v>
      </c>
      <c r="F801" t="str">
        <f>CONCATENATE("605941536","")</f>
        <v>605941536</v>
      </c>
      <c r="G801" t="s">
        <v>1389</v>
      </c>
      <c r="H801" t="s">
        <v>1409</v>
      </c>
      <c r="I801" t="s">
        <v>1391</v>
      </c>
      <c r="J801" t="str">
        <f t="shared" si="93"/>
        <v>081210</v>
      </c>
      <c r="K801" t="s">
        <v>22</v>
      </c>
      <c r="L801" t="s">
        <v>23</v>
      </c>
      <c r="M801" t="str">
        <f t="shared" si="88"/>
        <v>1</v>
      </c>
      <c r="O801" t="str">
        <f>CONCATENATE("1 ","")</f>
        <v xml:space="preserve">1 </v>
      </c>
      <c r="P801">
        <v>19.25</v>
      </c>
      <c r="Q801" t="s">
        <v>24</v>
      </c>
    </row>
    <row r="802" spans="1:17" x14ac:dyDescent="0.25">
      <c r="A802" t="s">
        <v>17</v>
      </c>
      <c r="B802" s="1">
        <v>41718</v>
      </c>
      <c r="C802" t="s">
        <v>786</v>
      </c>
      <c r="D802" t="str">
        <f>CONCATENATE("0060015222","")</f>
        <v>0060015222</v>
      </c>
      <c r="E802" t="str">
        <f>CONCATENATE("0120562000305       ","")</f>
        <v xml:space="preserve">0120562000305       </v>
      </c>
      <c r="F802" t="str">
        <f>CONCATENATE("605933513","")</f>
        <v>605933513</v>
      </c>
      <c r="G802" t="s">
        <v>1389</v>
      </c>
      <c r="H802" t="s">
        <v>1410</v>
      </c>
      <c r="I802" t="s">
        <v>1391</v>
      </c>
      <c r="J802" t="str">
        <f t="shared" si="93"/>
        <v>081210</v>
      </c>
      <c r="K802" t="s">
        <v>22</v>
      </c>
      <c r="L802" t="s">
        <v>23</v>
      </c>
      <c r="M802" t="str">
        <f t="shared" si="88"/>
        <v>1</v>
      </c>
      <c r="O802" t="str">
        <f>CONCATENATE("2 ","")</f>
        <v xml:space="preserve">2 </v>
      </c>
      <c r="P802">
        <v>19.05</v>
      </c>
      <c r="Q802" t="s">
        <v>24</v>
      </c>
    </row>
    <row r="803" spans="1:17" x14ac:dyDescent="0.25">
      <c r="A803" t="s">
        <v>17</v>
      </c>
      <c r="B803" s="1">
        <v>41718</v>
      </c>
      <c r="C803" t="s">
        <v>786</v>
      </c>
      <c r="D803" t="str">
        <f>CONCATENATE("0060015129","")</f>
        <v>0060015129</v>
      </c>
      <c r="E803" t="str">
        <f>CONCATENATE("0120562000310       ","")</f>
        <v xml:space="preserve">0120562000310       </v>
      </c>
      <c r="F803" t="str">
        <f>CONCATENATE("605933528","")</f>
        <v>605933528</v>
      </c>
      <c r="G803" t="s">
        <v>1389</v>
      </c>
      <c r="H803" t="s">
        <v>1411</v>
      </c>
      <c r="I803" t="s">
        <v>1391</v>
      </c>
      <c r="J803" t="str">
        <f t="shared" si="93"/>
        <v>081210</v>
      </c>
      <c r="K803" t="s">
        <v>22</v>
      </c>
      <c r="L803" t="s">
        <v>23</v>
      </c>
      <c r="M803" t="str">
        <f t="shared" si="88"/>
        <v>1</v>
      </c>
      <c r="O803" t="str">
        <f t="shared" ref="O803:O820" si="94">CONCATENATE("1 ","")</f>
        <v xml:space="preserve">1 </v>
      </c>
      <c r="P803">
        <v>12.3</v>
      </c>
      <c r="Q803" t="s">
        <v>24</v>
      </c>
    </row>
    <row r="804" spans="1:17" x14ac:dyDescent="0.25">
      <c r="A804" t="s">
        <v>17</v>
      </c>
      <c r="B804" s="1">
        <v>41718</v>
      </c>
      <c r="C804" t="s">
        <v>786</v>
      </c>
      <c r="D804" t="str">
        <f>CONCATENATE("0060015210","")</f>
        <v>0060015210</v>
      </c>
      <c r="E804" t="str">
        <f>CONCATENATE("0120562000330       ","")</f>
        <v xml:space="preserve">0120562000330       </v>
      </c>
      <c r="F804" t="str">
        <f>CONCATENATE("605933515","")</f>
        <v>605933515</v>
      </c>
      <c r="G804" t="s">
        <v>1389</v>
      </c>
      <c r="H804" t="s">
        <v>1412</v>
      </c>
      <c r="I804" t="s">
        <v>1391</v>
      </c>
      <c r="J804" t="str">
        <f t="shared" si="93"/>
        <v>081210</v>
      </c>
      <c r="K804" t="s">
        <v>22</v>
      </c>
      <c r="L804" t="s">
        <v>23</v>
      </c>
      <c r="M804" t="str">
        <f t="shared" si="88"/>
        <v>1</v>
      </c>
      <c r="O804" t="str">
        <f t="shared" si="94"/>
        <v xml:space="preserve">1 </v>
      </c>
      <c r="P804">
        <v>25.25</v>
      </c>
      <c r="Q804" t="s">
        <v>24</v>
      </c>
    </row>
    <row r="805" spans="1:17" x14ac:dyDescent="0.25">
      <c r="A805" t="s">
        <v>17</v>
      </c>
      <c r="B805" s="1">
        <v>41718</v>
      </c>
      <c r="C805" t="s">
        <v>786</v>
      </c>
      <c r="D805" t="str">
        <f>CONCATENATE("0060015123","")</f>
        <v>0060015123</v>
      </c>
      <c r="E805" t="str">
        <f>CONCATENATE("0120562000340       ","")</f>
        <v xml:space="preserve">0120562000340       </v>
      </c>
      <c r="F805" t="str">
        <f>CONCATENATE("605933518","")</f>
        <v>605933518</v>
      </c>
      <c r="G805" t="s">
        <v>1389</v>
      </c>
      <c r="H805" t="s">
        <v>1413</v>
      </c>
      <c r="I805" t="s">
        <v>1391</v>
      </c>
      <c r="J805" t="str">
        <f t="shared" si="93"/>
        <v>081210</v>
      </c>
      <c r="K805" t="s">
        <v>22</v>
      </c>
      <c r="L805" t="s">
        <v>23</v>
      </c>
      <c r="M805" t="str">
        <f t="shared" si="88"/>
        <v>1</v>
      </c>
      <c r="O805" t="str">
        <f t="shared" si="94"/>
        <v xml:space="preserve">1 </v>
      </c>
      <c r="P805">
        <v>25.25</v>
      </c>
      <c r="Q805" t="s">
        <v>24</v>
      </c>
    </row>
    <row r="806" spans="1:17" x14ac:dyDescent="0.25">
      <c r="A806" t="s">
        <v>17</v>
      </c>
      <c r="B806" s="1">
        <v>41718</v>
      </c>
      <c r="C806" t="s">
        <v>786</v>
      </c>
      <c r="D806" t="str">
        <f>CONCATENATE("0060015125","")</f>
        <v>0060015125</v>
      </c>
      <c r="E806" t="str">
        <f>CONCATENATE("0120562000350       ","")</f>
        <v xml:space="preserve">0120562000350       </v>
      </c>
      <c r="F806" t="str">
        <f>CONCATENATE("605933516","")</f>
        <v>605933516</v>
      </c>
      <c r="G806" t="s">
        <v>1389</v>
      </c>
      <c r="H806" t="s">
        <v>1414</v>
      </c>
      <c r="I806" t="s">
        <v>1391</v>
      </c>
      <c r="J806" t="str">
        <f t="shared" si="93"/>
        <v>081210</v>
      </c>
      <c r="K806" t="s">
        <v>22</v>
      </c>
      <c r="L806" t="s">
        <v>23</v>
      </c>
      <c r="M806" t="str">
        <f t="shared" si="88"/>
        <v>1</v>
      </c>
      <c r="O806" t="str">
        <f t="shared" si="94"/>
        <v xml:space="preserve">1 </v>
      </c>
      <c r="P806">
        <v>14.9</v>
      </c>
      <c r="Q806" t="s">
        <v>24</v>
      </c>
    </row>
    <row r="807" spans="1:17" x14ac:dyDescent="0.25">
      <c r="A807" t="s">
        <v>17</v>
      </c>
      <c r="B807" s="1">
        <v>41718</v>
      </c>
      <c r="C807" t="s">
        <v>786</v>
      </c>
      <c r="D807" t="str">
        <f>CONCATENATE("0060015214","")</f>
        <v>0060015214</v>
      </c>
      <c r="E807" t="str">
        <f>CONCATENATE("0120562000370       ","")</f>
        <v xml:space="preserve">0120562000370       </v>
      </c>
      <c r="F807" t="str">
        <f>CONCATENATE("605933517","")</f>
        <v>605933517</v>
      </c>
      <c r="G807" t="s">
        <v>1389</v>
      </c>
      <c r="H807" t="s">
        <v>1415</v>
      </c>
      <c r="I807" t="s">
        <v>1391</v>
      </c>
      <c r="J807" t="str">
        <f t="shared" si="93"/>
        <v>081210</v>
      </c>
      <c r="K807" t="s">
        <v>22</v>
      </c>
      <c r="L807" t="s">
        <v>23</v>
      </c>
      <c r="M807" t="str">
        <f t="shared" si="88"/>
        <v>1</v>
      </c>
      <c r="O807" t="str">
        <f t="shared" si="94"/>
        <v xml:space="preserve">1 </v>
      </c>
      <c r="P807">
        <v>12.65</v>
      </c>
      <c r="Q807" t="s">
        <v>24</v>
      </c>
    </row>
    <row r="808" spans="1:17" x14ac:dyDescent="0.25">
      <c r="A808" t="s">
        <v>17</v>
      </c>
      <c r="B808" s="1">
        <v>41718</v>
      </c>
      <c r="C808" t="s">
        <v>786</v>
      </c>
      <c r="D808" t="str">
        <f>CONCATENATE("0060015202","")</f>
        <v>0060015202</v>
      </c>
      <c r="E808" t="str">
        <f>CONCATENATE("0120562000420       ","")</f>
        <v xml:space="preserve">0120562000420       </v>
      </c>
      <c r="F808" t="str">
        <f>CONCATENATE("605933522","")</f>
        <v>605933522</v>
      </c>
      <c r="G808" t="s">
        <v>1389</v>
      </c>
      <c r="H808" t="s">
        <v>1416</v>
      </c>
      <c r="I808" t="s">
        <v>1391</v>
      </c>
      <c r="J808" t="str">
        <f t="shared" si="93"/>
        <v>081210</v>
      </c>
      <c r="K808" t="s">
        <v>22</v>
      </c>
      <c r="L808" t="s">
        <v>23</v>
      </c>
      <c r="M808" t="str">
        <f t="shared" ref="M808:M871" si="95">CONCATENATE("1","")</f>
        <v>1</v>
      </c>
      <c r="O808" t="str">
        <f t="shared" si="94"/>
        <v xml:space="preserve">1 </v>
      </c>
      <c r="P808">
        <v>11.95</v>
      </c>
      <c r="Q808" t="s">
        <v>24</v>
      </c>
    </row>
    <row r="809" spans="1:17" x14ac:dyDescent="0.25">
      <c r="A809" t="s">
        <v>17</v>
      </c>
      <c r="B809" s="1">
        <v>41718</v>
      </c>
      <c r="C809" t="s">
        <v>786</v>
      </c>
      <c r="D809" t="str">
        <f>CONCATENATE("0060015196","")</f>
        <v>0060015196</v>
      </c>
      <c r="E809" t="str">
        <f>CONCATENATE("0120562000430       ","")</f>
        <v xml:space="preserve">0120562000430       </v>
      </c>
      <c r="F809" t="str">
        <f>CONCATENATE("605933537","")</f>
        <v>605933537</v>
      </c>
      <c r="G809" t="s">
        <v>1389</v>
      </c>
      <c r="H809" t="s">
        <v>1417</v>
      </c>
      <c r="I809" t="s">
        <v>1391</v>
      </c>
      <c r="J809" t="str">
        <f t="shared" si="93"/>
        <v>081210</v>
      </c>
      <c r="K809" t="s">
        <v>22</v>
      </c>
      <c r="L809" t="s">
        <v>23</v>
      </c>
      <c r="M809" t="str">
        <f t="shared" si="95"/>
        <v>1</v>
      </c>
      <c r="O809" t="str">
        <f t="shared" si="94"/>
        <v xml:space="preserve">1 </v>
      </c>
      <c r="P809">
        <v>14.95</v>
      </c>
      <c r="Q809" t="s">
        <v>24</v>
      </c>
    </row>
    <row r="810" spans="1:17" x14ac:dyDescent="0.25">
      <c r="A810" t="s">
        <v>17</v>
      </c>
      <c r="B810" s="1">
        <v>41718</v>
      </c>
      <c r="C810" t="s">
        <v>786</v>
      </c>
      <c r="D810" t="str">
        <f>CONCATENATE("0060015219","")</f>
        <v>0060015219</v>
      </c>
      <c r="E810" t="str">
        <f>CONCATENATE("0120562000440       ","")</f>
        <v xml:space="preserve">0120562000440       </v>
      </c>
      <c r="F810" t="str">
        <f>CONCATENATE("605933529","")</f>
        <v>605933529</v>
      </c>
      <c r="G810" t="s">
        <v>1389</v>
      </c>
      <c r="H810" t="s">
        <v>1418</v>
      </c>
      <c r="I810" t="s">
        <v>1419</v>
      </c>
      <c r="J810" t="str">
        <f t="shared" si="93"/>
        <v>081210</v>
      </c>
      <c r="K810" t="s">
        <v>22</v>
      </c>
      <c r="L810" t="s">
        <v>23</v>
      </c>
      <c r="M810" t="str">
        <f t="shared" si="95"/>
        <v>1</v>
      </c>
      <c r="O810" t="str">
        <f t="shared" si="94"/>
        <v xml:space="preserve">1 </v>
      </c>
      <c r="P810">
        <v>17.899999999999999</v>
      </c>
      <c r="Q810" t="s">
        <v>24</v>
      </c>
    </row>
    <row r="811" spans="1:17" x14ac:dyDescent="0.25">
      <c r="A811" t="s">
        <v>17</v>
      </c>
      <c r="B811" s="1">
        <v>41718</v>
      </c>
      <c r="C811" t="s">
        <v>786</v>
      </c>
      <c r="D811" t="str">
        <f>CONCATENATE("0060015208","")</f>
        <v>0060015208</v>
      </c>
      <c r="E811" t="str">
        <f>CONCATENATE("0120562000450       ","")</f>
        <v xml:space="preserve">0120562000450       </v>
      </c>
      <c r="F811" t="str">
        <f>CONCATENATE("605933745","")</f>
        <v>605933745</v>
      </c>
      <c r="G811" t="s">
        <v>1389</v>
      </c>
      <c r="H811" t="s">
        <v>1420</v>
      </c>
      <c r="I811" t="s">
        <v>1391</v>
      </c>
      <c r="J811" t="str">
        <f t="shared" si="93"/>
        <v>081210</v>
      </c>
      <c r="K811" t="s">
        <v>22</v>
      </c>
      <c r="L811" t="s">
        <v>23</v>
      </c>
      <c r="M811" t="str">
        <f t="shared" si="95"/>
        <v>1</v>
      </c>
      <c r="O811" t="str">
        <f t="shared" si="94"/>
        <v xml:space="preserve">1 </v>
      </c>
      <c r="P811">
        <v>22.2</v>
      </c>
      <c r="Q811" t="s">
        <v>24</v>
      </c>
    </row>
    <row r="812" spans="1:17" x14ac:dyDescent="0.25">
      <c r="A812" t="s">
        <v>17</v>
      </c>
      <c r="B812" s="1">
        <v>41718</v>
      </c>
      <c r="C812" t="s">
        <v>786</v>
      </c>
      <c r="D812" t="str">
        <f>CONCATENATE("0060015224","")</f>
        <v>0060015224</v>
      </c>
      <c r="E812" t="str">
        <f>CONCATENATE("0120562000470       ","")</f>
        <v xml:space="preserve">0120562000470       </v>
      </c>
      <c r="F812" t="str">
        <f>CONCATENATE("605933746","")</f>
        <v>605933746</v>
      </c>
      <c r="G812" t="s">
        <v>1389</v>
      </c>
      <c r="H812" t="s">
        <v>1421</v>
      </c>
      <c r="I812" t="s">
        <v>1391</v>
      </c>
      <c r="J812" t="str">
        <f t="shared" si="93"/>
        <v>081210</v>
      </c>
      <c r="K812" t="s">
        <v>22</v>
      </c>
      <c r="L812" t="s">
        <v>23</v>
      </c>
      <c r="M812" t="str">
        <f t="shared" si="95"/>
        <v>1</v>
      </c>
      <c r="O812" t="str">
        <f t="shared" si="94"/>
        <v xml:space="preserve">1 </v>
      </c>
      <c r="P812">
        <v>17.899999999999999</v>
      </c>
      <c r="Q812" t="s">
        <v>24</v>
      </c>
    </row>
    <row r="813" spans="1:17" x14ac:dyDescent="0.25">
      <c r="A813" t="s">
        <v>17</v>
      </c>
      <c r="B813" s="1">
        <v>41718</v>
      </c>
      <c r="C813" t="s">
        <v>786</v>
      </c>
      <c r="D813" t="str">
        <f>CONCATENATE("0060015190","")</f>
        <v>0060015190</v>
      </c>
      <c r="E813" t="str">
        <f>CONCATENATE("0120562000480       ","")</f>
        <v xml:space="preserve">0120562000480       </v>
      </c>
      <c r="F813" t="str">
        <f>CONCATENATE("605933748","")</f>
        <v>605933748</v>
      </c>
      <c r="G813" t="s">
        <v>1389</v>
      </c>
      <c r="H813" t="s">
        <v>1422</v>
      </c>
      <c r="I813" t="s">
        <v>1391</v>
      </c>
      <c r="J813" t="str">
        <f t="shared" si="93"/>
        <v>081210</v>
      </c>
      <c r="K813" t="s">
        <v>22</v>
      </c>
      <c r="L813" t="s">
        <v>23</v>
      </c>
      <c r="M813" t="str">
        <f t="shared" si="95"/>
        <v>1</v>
      </c>
      <c r="O813" t="str">
        <f t="shared" si="94"/>
        <v xml:space="preserve">1 </v>
      </c>
      <c r="P813">
        <v>13.4</v>
      </c>
      <c r="Q813" t="s">
        <v>24</v>
      </c>
    </row>
    <row r="814" spans="1:17" x14ac:dyDescent="0.25">
      <c r="A814" t="s">
        <v>17</v>
      </c>
      <c r="B814" s="1">
        <v>41718</v>
      </c>
      <c r="C814" t="s">
        <v>786</v>
      </c>
      <c r="D814" t="str">
        <f>CONCATENATE("0060015218","")</f>
        <v>0060015218</v>
      </c>
      <c r="E814" t="str">
        <f>CONCATENATE("0120562000490       ","")</f>
        <v xml:space="preserve">0120562000490       </v>
      </c>
      <c r="F814" t="str">
        <f>CONCATENATE("605933744","")</f>
        <v>605933744</v>
      </c>
      <c r="G814" t="s">
        <v>1389</v>
      </c>
      <c r="H814" t="s">
        <v>1423</v>
      </c>
      <c r="I814" t="s">
        <v>1391</v>
      </c>
      <c r="J814" t="str">
        <f t="shared" si="93"/>
        <v>081210</v>
      </c>
      <c r="K814" t="s">
        <v>22</v>
      </c>
      <c r="L814" t="s">
        <v>23</v>
      </c>
      <c r="M814" t="str">
        <f t="shared" si="95"/>
        <v>1</v>
      </c>
      <c r="O814" t="str">
        <f t="shared" si="94"/>
        <v xml:space="preserve">1 </v>
      </c>
      <c r="P814">
        <v>17.850000000000001</v>
      </c>
      <c r="Q814" t="s">
        <v>24</v>
      </c>
    </row>
    <row r="815" spans="1:17" x14ac:dyDescent="0.25">
      <c r="A815" t="s">
        <v>17</v>
      </c>
      <c r="B815" s="1">
        <v>41718</v>
      </c>
      <c r="C815" t="s">
        <v>786</v>
      </c>
      <c r="D815" t="str">
        <f>CONCATENATE("0060015215","")</f>
        <v>0060015215</v>
      </c>
      <c r="E815" t="str">
        <f>CONCATENATE("0120562000510       ","")</f>
        <v xml:space="preserve">0120562000510       </v>
      </c>
      <c r="F815" t="str">
        <f>CONCATENATE("605933737","")</f>
        <v>605933737</v>
      </c>
      <c r="G815" t="s">
        <v>1389</v>
      </c>
      <c r="H815" t="s">
        <v>1424</v>
      </c>
      <c r="I815" t="s">
        <v>1391</v>
      </c>
      <c r="J815" t="str">
        <f t="shared" si="93"/>
        <v>081210</v>
      </c>
      <c r="K815" t="s">
        <v>22</v>
      </c>
      <c r="L815" t="s">
        <v>23</v>
      </c>
      <c r="M815" t="str">
        <f t="shared" si="95"/>
        <v>1</v>
      </c>
      <c r="O815" t="str">
        <f t="shared" si="94"/>
        <v xml:space="preserve">1 </v>
      </c>
      <c r="P815">
        <v>25.25</v>
      </c>
      <c r="Q815" t="s">
        <v>24</v>
      </c>
    </row>
    <row r="816" spans="1:17" x14ac:dyDescent="0.25">
      <c r="A816" t="s">
        <v>17</v>
      </c>
      <c r="B816" s="1">
        <v>41718</v>
      </c>
      <c r="C816" t="s">
        <v>786</v>
      </c>
      <c r="D816" t="str">
        <f>CONCATENATE("0060015207","")</f>
        <v>0060015207</v>
      </c>
      <c r="E816" t="str">
        <f>CONCATENATE("0120562000520       ","")</f>
        <v xml:space="preserve">0120562000520       </v>
      </c>
      <c r="F816" t="str">
        <f>CONCATENATE("605933749","")</f>
        <v>605933749</v>
      </c>
      <c r="G816" t="s">
        <v>1389</v>
      </c>
      <c r="H816" t="s">
        <v>1425</v>
      </c>
      <c r="I816" t="s">
        <v>1391</v>
      </c>
      <c r="J816" t="str">
        <f t="shared" si="93"/>
        <v>081210</v>
      </c>
      <c r="K816" t="s">
        <v>22</v>
      </c>
      <c r="L816" t="s">
        <v>23</v>
      </c>
      <c r="M816" t="str">
        <f t="shared" si="95"/>
        <v>1</v>
      </c>
      <c r="O816" t="str">
        <f t="shared" si="94"/>
        <v xml:space="preserve">1 </v>
      </c>
      <c r="P816">
        <v>13.8</v>
      </c>
      <c r="Q816" t="s">
        <v>24</v>
      </c>
    </row>
    <row r="817" spans="1:17" x14ac:dyDescent="0.25">
      <c r="A817" t="s">
        <v>17</v>
      </c>
      <c r="B817" s="1">
        <v>41718</v>
      </c>
      <c r="C817" t="s">
        <v>786</v>
      </c>
      <c r="D817" t="str">
        <f>CONCATENATE("0060015201","")</f>
        <v>0060015201</v>
      </c>
      <c r="E817" t="str">
        <f>CONCATENATE("0120562000530       ","")</f>
        <v xml:space="preserve">0120562000530       </v>
      </c>
      <c r="F817" t="str">
        <f>CONCATENATE("605933729","")</f>
        <v>605933729</v>
      </c>
      <c r="G817" t="s">
        <v>588</v>
      </c>
      <c r="H817" t="s">
        <v>1426</v>
      </c>
      <c r="I817" t="s">
        <v>1391</v>
      </c>
      <c r="J817" t="str">
        <f t="shared" si="93"/>
        <v>081210</v>
      </c>
      <c r="K817" t="s">
        <v>22</v>
      </c>
      <c r="L817" t="s">
        <v>23</v>
      </c>
      <c r="M817" t="str">
        <f t="shared" si="95"/>
        <v>1</v>
      </c>
      <c r="O817" t="str">
        <f t="shared" si="94"/>
        <v xml:space="preserve">1 </v>
      </c>
      <c r="P817">
        <v>17.850000000000001</v>
      </c>
      <c r="Q817" t="s">
        <v>24</v>
      </c>
    </row>
    <row r="818" spans="1:17" x14ac:dyDescent="0.25">
      <c r="A818" t="s">
        <v>17</v>
      </c>
      <c r="B818" s="1">
        <v>41718</v>
      </c>
      <c r="C818" t="s">
        <v>786</v>
      </c>
      <c r="D818" t="str">
        <f>CONCATENATE("0060015221","")</f>
        <v>0060015221</v>
      </c>
      <c r="E818" t="str">
        <f>CONCATENATE("0120562000540       ","")</f>
        <v xml:space="preserve">0120562000540       </v>
      </c>
      <c r="F818" t="str">
        <f>CONCATENATE("605933740","")</f>
        <v>605933740</v>
      </c>
      <c r="G818" t="s">
        <v>1389</v>
      </c>
      <c r="H818" t="s">
        <v>1427</v>
      </c>
      <c r="I818" t="s">
        <v>1391</v>
      </c>
      <c r="J818" t="str">
        <f t="shared" si="93"/>
        <v>081210</v>
      </c>
      <c r="K818" t="s">
        <v>22</v>
      </c>
      <c r="L818" t="s">
        <v>23</v>
      </c>
      <c r="M818" t="str">
        <f t="shared" si="95"/>
        <v>1</v>
      </c>
      <c r="O818" t="str">
        <f t="shared" si="94"/>
        <v xml:space="preserve">1 </v>
      </c>
      <c r="P818">
        <v>17.899999999999999</v>
      </c>
      <c r="Q818" t="s">
        <v>24</v>
      </c>
    </row>
    <row r="819" spans="1:17" x14ac:dyDescent="0.25">
      <c r="A819" t="s">
        <v>17</v>
      </c>
      <c r="B819" s="1">
        <v>41718</v>
      </c>
      <c r="C819" t="s">
        <v>786</v>
      </c>
      <c r="D819" t="str">
        <f>CONCATENATE("0060015197","")</f>
        <v>0060015197</v>
      </c>
      <c r="E819" t="str">
        <f>CONCATENATE("0120562000550       ","")</f>
        <v xml:space="preserve">0120562000550       </v>
      </c>
      <c r="F819" t="str">
        <f>CONCATENATE("605933738","")</f>
        <v>605933738</v>
      </c>
      <c r="G819" t="s">
        <v>1389</v>
      </c>
      <c r="H819" t="s">
        <v>1428</v>
      </c>
      <c r="I819" t="s">
        <v>1391</v>
      </c>
      <c r="J819" t="str">
        <f t="shared" si="93"/>
        <v>081210</v>
      </c>
      <c r="K819" t="s">
        <v>22</v>
      </c>
      <c r="L819" t="s">
        <v>23</v>
      </c>
      <c r="M819" t="str">
        <f t="shared" si="95"/>
        <v>1</v>
      </c>
      <c r="O819" t="str">
        <f t="shared" si="94"/>
        <v xml:space="preserve">1 </v>
      </c>
      <c r="P819">
        <v>12.65</v>
      </c>
      <c r="Q819" t="s">
        <v>24</v>
      </c>
    </row>
    <row r="820" spans="1:17" x14ac:dyDescent="0.25">
      <c r="A820" t="s">
        <v>17</v>
      </c>
      <c r="B820" s="1">
        <v>41718</v>
      </c>
      <c r="C820" t="s">
        <v>786</v>
      </c>
      <c r="D820" t="str">
        <f>CONCATENATE("0060015187","")</f>
        <v>0060015187</v>
      </c>
      <c r="E820" t="str">
        <f>CONCATENATE("0120562000560       ","")</f>
        <v xml:space="preserve">0120562000560       </v>
      </c>
      <c r="F820" t="str">
        <f>CONCATENATE("605933743","")</f>
        <v>605933743</v>
      </c>
      <c r="G820" t="s">
        <v>1389</v>
      </c>
      <c r="H820" t="s">
        <v>1429</v>
      </c>
      <c r="I820" t="s">
        <v>1391</v>
      </c>
      <c r="J820" t="str">
        <f t="shared" si="93"/>
        <v>081210</v>
      </c>
      <c r="K820" t="s">
        <v>22</v>
      </c>
      <c r="L820" t="s">
        <v>23</v>
      </c>
      <c r="M820" t="str">
        <f t="shared" si="95"/>
        <v>1</v>
      </c>
      <c r="O820" t="str">
        <f t="shared" si="94"/>
        <v xml:space="preserve">1 </v>
      </c>
      <c r="P820">
        <v>18.2</v>
      </c>
      <c r="Q820" t="s">
        <v>24</v>
      </c>
    </row>
    <row r="821" spans="1:17" x14ac:dyDescent="0.25">
      <c r="A821" t="s">
        <v>17</v>
      </c>
      <c r="B821" s="1">
        <v>41718</v>
      </c>
      <c r="C821" t="s">
        <v>786</v>
      </c>
      <c r="D821" t="str">
        <f>CONCATENATE("0060015223","")</f>
        <v>0060015223</v>
      </c>
      <c r="E821" t="str">
        <f>CONCATENATE("0120562000630       ","")</f>
        <v xml:space="preserve">0120562000630       </v>
      </c>
      <c r="F821" t="str">
        <f>CONCATENATE("605933741","")</f>
        <v>605933741</v>
      </c>
      <c r="G821" t="s">
        <v>1389</v>
      </c>
      <c r="H821" t="s">
        <v>1430</v>
      </c>
      <c r="I821" t="s">
        <v>1391</v>
      </c>
      <c r="J821" t="str">
        <f t="shared" si="93"/>
        <v>081210</v>
      </c>
      <c r="K821" t="s">
        <v>22</v>
      </c>
      <c r="L821" t="s">
        <v>23</v>
      </c>
      <c r="M821" t="str">
        <f t="shared" si="95"/>
        <v>1</v>
      </c>
      <c r="O821" t="str">
        <f>CONCATENATE("2 ","")</f>
        <v xml:space="preserve">2 </v>
      </c>
      <c r="P821">
        <v>32.299999999999997</v>
      </c>
      <c r="Q821" t="s">
        <v>24</v>
      </c>
    </row>
    <row r="822" spans="1:17" x14ac:dyDescent="0.25">
      <c r="A822" t="s">
        <v>17</v>
      </c>
      <c r="B822" s="1">
        <v>41718</v>
      </c>
      <c r="C822" t="s">
        <v>786</v>
      </c>
      <c r="D822" t="str">
        <f>CONCATENATE("0060015203","")</f>
        <v>0060015203</v>
      </c>
      <c r="E822" t="str">
        <f>CONCATENATE("0120562000750       ","")</f>
        <v xml:space="preserve">0120562000750       </v>
      </c>
      <c r="F822" t="str">
        <f>CONCATENATE("605933541","")</f>
        <v>605933541</v>
      </c>
      <c r="G822" t="s">
        <v>1389</v>
      </c>
      <c r="H822" t="s">
        <v>1431</v>
      </c>
      <c r="I822" t="s">
        <v>1391</v>
      </c>
      <c r="J822" t="str">
        <f t="shared" si="93"/>
        <v>081210</v>
      </c>
      <c r="K822" t="s">
        <v>22</v>
      </c>
      <c r="L822" t="s">
        <v>23</v>
      </c>
      <c r="M822" t="str">
        <f t="shared" si="95"/>
        <v>1</v>
      </c>
      <c r="O822" t="str">
        <f>CONCATENATE("2 ","")</f>
        <v xml:space="preserve">2 </v>
      </c>
      <c r="P822">
        <v>15.85</v>
      </c>
      <c r="Q822" t="s">
        <v>24</v>
      </c>
    </row>
    <row r="823" spans="1:17" x14ac:dyDescent="0.25">
      <c r="A823" t="s">
        <v>17</v>
      </c>
      <c r="B823" s="1">
        <v>41718</v>
      </c>
      <c r="C823" t="s">
        <v>786</v>
      </c>
      <c r="D823" t="str">
        <f>CONCATENATE("0060015217","")</f>
        <v>0060015217</v>
      </c>
      <c r="E823" t="str">
        <f>CONCATENATE("0120562000900       ","")</f>
        <v xml:space="preserve">0120562000900       </v>
      </c>
      <c r="F823" t="str">
        <f>CONCATENATE("605933538","")</f>
        <v>605933538</v>
      </c>
      <c r="G823" t="s">
        <v>1389</v>
      </c>
      <c r="H823" t="s">
        <v>1432</v>
      </c>
      <c r="I823" t="s">
        <v>1391</v>
      </c>
      <c r="J823" t="str">
        <f t="shared" si="93"/>
        <v>081210</v>
      </c>
      <c r="K823" t="s">
        <v>22</v>
      </c>
      <c r="L823" t="s">
        <v>23</v>
      </c>
      <c r="M823" t="str">
        <f t="shared" si="95"/>
        <v>1</v>
      </c>
      <c r="O823" t="str">
        <f>CONCATENATE("1 ","")</f>
        <v xml:space="preserve">1 </v>
      </c>
      <c r="P823">
        <v>10.5</v>
      </c>
      <c r="Q823" t="s">
        <v>24</v>
      </c>
    </row>
    <row r="824" spans="1:17" x14ac:dyDescent="0.25">
      <c r="A824" t="s">
        <v>17</v>
      </c>
      <c r="B824" s="1">
        <v>41718</v>
      </c>
      <c r="C824" t="s">
        <v>786</v>
      </c>
      <c r="D824" t="str">
        <f>CONCATENATE("0060015200","")</f>
        <v>0060015200</v>
      </c>
      <c r="E824" t="str">
        <f>CONCATENATE("0120562000910       ","")</f>
        <v xml:space="preserve">0120562000910       </v>
      </c>
      <c r="F824" t="str">
        <f>CONCATENATE("605933536","")</f>
        <v>605933536</v>
      </c>
      <c r="G824" t="s">
        <v>1389</v>
      </c>
      <c r="H824" t="s">
        <v>1433</v>
      </c>
      <c r="I824" t="s">
        <v>1391</v>
      </c>
      <c r="J824" t="str">
        <f t="shared" si="93"/>
        <v>081210</v>
      </c>
      <c r="K824" t="s">
        <v>22</v>
      </c>
      <c r="L824" t="s">
        <v>23</v>
      </c>
      <c r="M824" t="str">
        <f t="shared" si="95"/>
        <v>1</v>
      </c>
      <c r="O824" t="str">
        <f>CONCATENATE("1 ","")</f>
        <v xml:space="preserve">1 </v>
      </c>
      <c r="P824">
        <v>10.5</v>
      </c>
      <c r="Q824" t="s">
        <v>24</v>
      </c>
    </row>
    <row r="825" spans="1:17" x14ac:dyDescent="0.25">
      <c r="A825" t="s">
        <v>17</v>
      </c>
      <c r="B825" s="1">
        <v>41718</v>
      </c>
      <c r="C825" t="s">
        <v>786</v>
      </c>
      <c r="D825" t="str">
        <f>CONCATENATE("0060015195","")</f>
        <v>0060015195</v>
      </c>
      <c r="E825" t="str">
        <f>CONCATENATE("0120562000920       ","")</f>
        <v xml:space="preserve">0120562000920       </v>
      </c>
      <c r="F825" t="str">
        <f>CONCATENATE("605933527","")</f>
        <v>605933527</v>
      </c>
      <c r="G825" t="s">
        <v>1389</v>
      </c>
      <c r="H825" t="s">
        <v>1434</v>
      </c>
      <c r="I825" t="s">
        <v>1406</v>
      </c>
      <c r="J825" t="str">
        <f t="shared" si="93"/>
        <v>081210</v>
      </c>
      <c r="K825" t="s">
        <v>22</v>
      </c>
      <c r="L825" t="s">
        <v>23</v>
      </c>
      <c r="M825" t="str">
        <f t="shared" si="95"/>
        <v>1</v>
      </c>
      <c r="O825" t="str">
        <f>CONCATENATE("1 ","")</f>
        <v xml:space="preserve">1 </v>
      </c>
      <c r="P825">
        <v>17.850000000000001</v>
      </c>
      <c r="Q825" t="s">
        <v>24</v>
      </c>
    </row>
    <row r="826" spans="1:17" x14ac:dyDescent="0.25">
      <c r="A826" t="s">
        <v>17</v>
      </c>
      <c r="B826" s="1">
        <v>41718</v>
      </c>
      <c r="C826" t="s">
        <v>786</v>
      </c>
      <c r="D826" t="str">
        <f>CONCATENATE("0060015192","")</f>
        <v>0060015192</v>
      </c>
      <c r="E826" t="str">
        <f>CONCATENATE("0120562000930       ","")</f>
        <v xml:space="preserve">0120562000930       </v>
      </c>
      <c r="F826" t="str">
        <f>CONCATENATE("605933525","")</f>
        <v>605933525</v>
      </c>
      <c r="G826" t="s">
        <v>1389</v>
      </c>
      <c r="H826" t="s">
        <v>1435</v>
      </c>
      <c r="I826" t="s">
        <v>1391</v>
      </c>
      <c r="J826" t="str">
        <f t="shared" si="93"/>
        <v>081210</v>
      </c>
      <c r="K826" t="s">
        <v>22</v>
      </c>
      <c r="L826" t="s">
        <v>23</v>
      </c>
      <c r="M826" t="str">
        <f t="shared" si="95"/>
        <v>1</v>
      </c>
      <c r="O826" t="str">
        <f>CONCATENATE("2 ","")</f>
        <v xml:space="preserve">2 </v>
      </c>
      <c r="P826">
        <v>15.75</v>
      </c>
      <c r="Q826" t="s">
        <v>24</v>
      </c>
    </row>
    <row r="827" spans="1:17" x14ac:dyDescent="0.25">
      <c r="A827" t="s">
        <v>17</v>
      </c>
      <c r="B827" s="1">
        <v>41718</v>
      </c>
      <c r="C827" t="s">
        <v>786</v>
      </c>
      <c r="D827" t="str">
        <f>CONCATENATE("0060015213","")</f>
        <v>0060015213</v>
      </c>
      <c r="E827" t="str">
        <f>CONCATENATE("0120562000950       ","")</f>
        <v xml:space="preserve">0120562000950       </v>
      </c>
      <c r="F827" t="str">
        <f>CONCATENATE("605933539","")</f>
        <v>605933539</v>
      </c>
      <c r="G827" t="s">
        <v>1389</v>
      </c>
      <c r="H827" t="s">
        <v>1436</v>
      </c>
      <c r="I827" t="s">
        <v>1391</v>
      </c>
      <c r="J827" t="str">
        <f t="shared" ref="J827:J853" si="96">CONCATENATE("081210","")</f>
        <v>081210</v>
      </c>
      <c r="K827" t="s">
        <v>22</v>
      </c>
      <c r="L827" t="s">
        <v>23</v>
      </c>
      <c r="M827" t="str">
        <f t="shared" si="95"/>
        <v>1</v>
      </c>
      <c r="O827" t="str">
        <f>CONCATENATE("1 ","")</f>
        <v xml:space="preserve">1 </v>
      </c>
      <c r="P827">
        <v>31.55</v>
      </c>
      <c r="Q827" t="s">
        <v>24</v>
      </c>
    </row>
    <row r="828" spans="1:17" x14ac:dyDescent="0.25">
      <c r="A828" t="s">
        <v>17</v>
      </c>
      <c r="B828" s="1">
        <v>41718</v>
      </c>
      <c r="C828" t="s">
        <v>786</v>
      </c>
      <c r="D828" t="str">
        <f>CONCATENATE("0060015199","")</f>
        <v>0060015199</v>
      </c>
      <c r="E828" t="str">
        <f>CONCATENATE("0120562000960       ","")</f>
        <v xml:space="preserve">0120562000960       </v>
      </c>
      <c r="F828" t="str">
        <f>CONCATENATE("605933534","")</f>
        <v>605933534</v>
      </c>
      <c r="G828" t="s">
        <v>1389</v>
      </c>
      <c r="H828" t="s">
        <v>1437</v>
      </c>
      <c r="I828" t="s">
        <v>1391</v>
      </c>
      <c r="J828" t="str">
        <f t="shared" si="96"/>
        <v>081210</v>
      </c>
      <c r="K828" t="s">
        <v>22</v>
      </c>
      <c r="L828" t="s">
        <v>23</v>
      </c>
      <c r="M828" t="str">
        <f t="shared" si="95"/>
        <v>1</v>
      </c>
      <c r="O828" t="str">
        <f>CONCATENATE("2 ","")</f>
        <v xml:space="preserve">2 </v>
      </c>
      <c r="P828">
        <v>27.55</v>
      </c>
      <c r="Q828" t="s">
        <v>24</v>
      </c>
    </row>
    <row r="829" spans="1:17" x14ac:dyDescent="0.25">
      <c r="A829" t="s">
        <v>17</v>
      </c>
      <c r="B829" s="1">
        <v>41718</v>
      </c>
      <c r="C829" t="s">
        <v>786</v>
      </c>
      <c r="D829" t="str">
        <f>CONCATENATE("0060015206","")</f>
        <v>0060015206</v>
      </c>
      <c r="E829" t="str">
        <f>CONCATENATE("0120562000980       ","")</f>
        <v xml:space="preserve">0120562000980       </v>
      </c>
      <c r="F829" t="str">
        <f>CONCATENATE("605933533","")</f>
        <v>605933533</v>
      </c>
      <c r="G829" t="s">
        <v>1389</v>
      </c>
      <c r="H829" t="s">
        <v>1212</v>
      </c>
      <c r="I829" t="s">
        <v>1391</v>
      </c>
      <c r="J829" t="str">
        <f t="shared" si="96"/>
        <v>081210</v>
      </c>
      <c r="K829" t="s">
        <v>22</v>
      </c>
      <c r="L829" t="s">
        <v>23</v>
      </c>
      <c r="M829" t="str">
        <f t="shared" si="95"/>
        <v>1</v>
      </c>
      <c r="O829" t="str">
        <f>CONCATENATE("2 ","")</f>
        <v xml:space="preserve">2 </v>
      </c>
      <c r="P829">
        <v>28.6</v>
      </c>
      <c r="Q829" t="s">
        <v>24</v>
      </c>
    </row>
    <row r="830" spans="1:17" x14ac:dyDescent="0.25">
      <c r="A830" t="s">
        <v>17</v>
      </c>
      <c r="B830" s="1">
        <v>41718</v>
      </c>
      <c r="C830" t="s">
        <v>786</v>
      </c>
      <c r="D830" t="str">
        <f>CONCATENATE("0060015220","")</f>
        <v>0060015220</v>
      </c>
      <c r="E830" t="str">
        <f>CONCATENATE("0120562001000       ","")</f>
        <v xml:space="preserve">0120562001000       </v>
      </c>
      <c r="F830" t="str">
        <f>CONCATENATE("605933531","")</f>
        <v>605933531</v>
      </c>
      <c r="G830" t="s">
        <v>1389</v>
      </c>
      <c r="H830" t="s">
        <v>1438</v>
      </c>
      <c r="I830" t="s">
        <v>1391</v>
      </c>
      <c r="J830" t="str">
        <f t="shared" si="96"/>
        <v>081210</v>
      </c>
      <c r="K830" t="s">
        <v>22</v>
      </c>
      <c r="L830" t="s">
        <v>23</v>
      </c>
      <c r="M830" t="str">
        <f t="shared" si="95"/>
        <v>1</v>
      </c>
      <c r="O830" t="str">
        <f>CONCATENATE("1 ","")</f>
        <v xml:space="preserve">1 </v>
      </c>
      <c r="P830">
        <v>21.5</v>
      </c>
      <c r="Q830" t="s">
        <v>24</v>
      </c>
    </row>
    <row r="831" spans="1:17" x14ac:dyDescent="0.25">
      <c r="A831" t="s">
        <v>17</v>
      </c>
      <c r="B831" s="1">
        <v>41718</v>
      </c>
      <c r="C831" t="s">
        <v>786</v>
      </c>
      <c r="D831" t="str">
        <f>CONCATENATE("0060015734","")</f>
        <v>0060015734</v>
      </c>
      <c r="E831" t="str">
        <f>CONCATENATE("0120563000170       ","")</f>
        <v xml:space="preserve">0120563000170       </v>
      </c>
      <c r="F831" t="str">
        <f>CONCATENATE("605933941","")</f>
        <v>605933941</v>
      </c>
      <c r="G831" t="s">
        <v>1439</v>
      </c>
      <c r="H831" t="s">
        <v>1440</v>
      </c>
      <c r="I831" t="s">
        <v>1441</v>
      </c>
      <c r="J831" t="str">
        <f t="shared" si="96"/>
        <v>081210</v>
      </c>
      <c r="K831" t="s">
        <v>22</v>
      </c>
      <c r="L831" t="s">
        <v>23</v>
      </c>
      <c r="M831" t="str">
        <f t="shared" si="95"/>
        <v>1</v>
      </c>
      <c r="O831" t="str">
        <f>CONCATENATE("1 ","")</f>
        <v xml:space="preserve">1 </v>
      </c>
      <c r="P831">
        <v>28.05</v>
      </c>
      <c r="Q831" t="s">
        <v>24</v>
      </c>
    </row>
    <row r="832" spans="1:17" x14ac:dyDescent="0.25">
      <c r="A832" t="s">
        <v>17</v>
      </c>
      <c r="B832" s="1">
        <v>41718</v>
      </c>
      <c r="C832" t="s">
        <v>786</v>
      </c>
      <c r="D832" t="str">
        <f>CONCATENATE("0060015767","")</f>
        <v>0060015767</v>
      </c>
      <c r="E832" t="str">
        <f>CONCATENATE("0120563000640       ","")</f>
        <v xml:space="preserve">0120563000640       </v>
      </c>
      <c r="F832" t="str">
        <f>CONCATENATE("605932288","")</f>
        <v>605932288</v>
      </c>
      <c r="G832" t="s">
        <v>1439</v>
      </c>
      <c r="H832" t="s">
        <v>1442</v>
      </c>
      <c r="I832" t="s">
        <v>1441</v>
      </c>
      <c r="J832" t="str">
        <f t="shared" si="96"/>
        <v>081210</v>
      </c>
      <c r="K832" t="s">
        <v>22</v>
      </c>
      <c r="L832" t="s">
        <v>23</v>
      </c>
      <c r="M832" t="str">
        <f t="shared" si="95"/>
        <v>1</v>
      </c>
      <c r="O832" t="str">
        <f>CONCATENATE("1 ","")</f>
        <v xml:space="preserve">1 </v>
      </c>
      <c r="P832">
        <v>20.25</v>
      </c>
      <c r="Q832" t="s">
        <v>24</v>
      </c>
    </row>
    <row r="833" spans="1:17" x14ac:dyDescent="0.25">
      <c r="A833" t="s">
        <v>17</v>
      </c>
      <c r="B833" s="1">
        <v>41718</v>
      </c>
      <c r="C833" t="s">
        <v>786</v>
      </c>
      <c r="D833" t="str">
        <f>CONCATENATE("0060015744","")</f>
        <v>0060015744</v>
      </c>
      <c r="E833" t="str">
        <f>CONCATENATE("0120563000685       ","")</f>
        <v xml:space="preserve">0120563000685       </v>
      </c>
      <c r="F833" t="str">
        <f>CONCATENATE("605932292","")</f>
        <v>605932292</v>
      </c>
      <c r="G833" t="s">
        <v>1439</v>
      </c>
      <c r="H833" t="s">
        <v>1443</v>
      </c>
      <c r="I833" t="s">
        <v>1441</v>
      </c>
      <c r="J833" t="str">
        <f t="shared" si="96"/>
        <v>081210</v>
      </c>
      <c r="K833" t="s">
        <v>22</v>
      </c>
      <c r="L833" t="s">
        <v>23</v>
      </c>
      <c r="M833" t="str">
        <f t="shared" si="95"/>
        <v>1</v>
      </c>
      <c r="O833" t="str">
        <f>CONCATENATE("2 ","")</f>
        <v xml:space="preserve">2 </v>
      </c>
      <c r="P833">
        <v>18.95</v>
      </c>
      <c r="Q833" t="s">
        <v>24</v>
      </c>
    </row>
    <row r="834" spans="1:17" x14ac:dyDescent="0.25">
      <c r="A834" t="s">
        <v>17</v>
      </c>
      <c r="B834" s="1">
        <v>41718</v>
      </c>
      <c r="C834" t="s">
        <v>786</v>
      </c>
      <c r="D834" t="str">
        <f>CONCATENATE("0060015770","")</f>
        <v>0060015770</v>
      </c>
      <c r="E834" t="str">
        <f>CONCATENATE("0120563000695       ","")</f>
        <v xml:space="preserve">0120563000695       </v>
      </c>
      <c r="F834" t="str">
        <f>CONCATENATE("605932291","")</f>
        <v>605932291</v>
      </c>
      <c r="G834" t="s">
        <v>1439</v>
      </c>
      <c r="H834" t="s">
        <v>1444</v>
      </c>
      <c r="I834" t="s">
        <v>1441</v>
      </c>
      <c r="J834" t="str">
        <f t="shared" si="96"/>
        <v>081210</v>
      </c>
      <c r="K834" t="s">
        <v>22</v>
      </c>
      <c r="L834" t="s">
        <v>23</v>
      </c>
      <c r="M834" t="str">
        <f t="shared" si="95"/>
        <v>1</v>
      </c>
      <c r="O834" t="str">
        <f>CONCATENATE("1 ","")</f>
        <v xml:space="preserve">1 </v>
      </c>
      <c r="P834">
        <v>18.95</v>
      </c>
      <c r="Q834" t="s">
        <v>24</v>
      </c>
    </row>
    <row r="835" spans="1:17" x14ac:dyDescent="0.25">
      <c r="A835" t="s">
        <v>17</v>
      </c>
      <c r="B835" s="1">
        <v>41718</v>
      </c>
      <c r="C835" t="s">
        <v>786</v>
      </c>
      <c r="D835" t="str">
        <f>CONCATENATE("0060017162","")</f>
        <v>0060017162</v>
      </c>
      <c r="E835" t="str">
        <f>CONCATENATE("0120567000150       ","")</f>
        <v xml:space="preserve">0120567000150       </v>
      </c>
      <c r="F835" t="str">
        <f>CONCATENATE("1235302","")</f>
        <v>1235302</v>
      </c>
      <c r="G835" t="s">
        <v>984</v>
      </c>
      <c r="H835" t="s">
        <v>1445</v>
      </c>
      <c r="I835" t="s">
        <v>1446</v>
      </c>
      <c r="J835" t="str">
        <f t="shared" si="96"/>
        <v>081210</v>
      </c>
      <c r="K835" t="s">
        <v>22</v>
      </c>
      <c r="L835" t="s">
        <v>23</v>
      </c>
      <c r="M835" t="str">
        <f t="shared" si="95"/>
        <v>1</v>
      </c>
      <c r="O835" t="str">
        <f>CONCATENATE("1 ","")</f>
        <v xml:space="preserve">1 </v>
      </c>
      <c r="P835">
        <v>22</v>
      </c>
      <c r="Q835" t="s">
        <v>24</v>
      </c>
    </row>
    <row r="836" spans="1:17" x14ac:dyDescent="0.25">
      <c r="A836" t="s">
        <v>17</v>
      </c>
      <c r="B836" s="1">
        <v>41718</v>
      </c>
      <c r="C836" t="s">
        <v>786</v>
      </c>
      <c r="D836" t="str">
        <f>CONCATENATE("0060017165","")</f>
        <v>0060017165</v>
      </c>
      <c r="E836" t="str">
        <f>CONCATENATE("0120567000180       ","")</f>
        <v xml:space="preserve">0120567000180       </v>
      </c>
      <c r="F836" t="str">
        <f>CONCATENATE("1235636","")</f>
        <v>1235636</v>
      </c>
      <c r="G836" t="s">
        <v>984</v>
      </c>
      <c r="H836" t="s">
        <v>1447</v>
      </c>
      <c r="I836" t="s">
        <v>1446</v>
      </c>
      <c r="J836" t="str">
        <f t="shared" si="96"/>
        <v>081210</v>
      </c>
      <c r="K836" t="s">
        <v>22</v>
      </c>
      <c r="L836" t="s">
        <v>23</v>
      </c>
      <c r="M836" t="str">
        <f t="shared" si="95"/>
        <v>1</v>
      </c>
      <c r="O836" t="str">
        <f>CONCATENATE("1 ","")</f>
        <v xml:space="preserve">1 </v>
      </c>
      <c r="P836">
        <v>12.85</v>
      </c>
      <c r="Q836" t="s">
        <v>24</v>
      </c>
    </row>
    <row r="837" spans="1:17" x14ac:dyDescent="0.25">
      <c r="A837" t="s">
        <v>17</v>
      </c>
      <c r="B837" s="1">
        <v>41718</v>
      </c>
      <c r="C837" t="s">
        <v>786</v>
      </c>
      <c r="D837" t="str">
        <f>CONCATENATE("0060017167","")</f>
        <v>0060017167</v>
      </c>
      <c r="E837" t="str">
        <f>CONCATENATE("0120567000200       ","")</f>
        <v xml:space="preserve">0120567000200       </v>
      </c>
      <c r="F837" t="str">
        <f>CONCATENATE("1235634","")</f>
        <v>1235634</v>
      </c>
      <c r="G837" t="s">
        <v>984</v>
      </c>
      <c r="H837" t="s">
        <v>1448</v>
      </c>
      <c r="I837" t="s">
        <v>1446</v>
      </c>
      <c r="J837" t="str">
        <f t="shared" si="96"/>
        <v>081210</v>
      </c>
      <c r="K837" t="s">
        <v>22</v>
      </c>
      <c r="L837" t="s">
        <v>23</v>
      </c>
      <c r="M837" t="str">
        <f t="shared" si="95"/>
        <v>1</v>
      </c>
      <c r="O837" t="str">
        <f>CONCATENATE("1 ","")</f>
        <v xml:space="preserve">1 </v>
      </c>
      <c r="P837">
        <v>13.6</v>
      </c>
      <c r="Q837" t="s">
        <v>24</v>
      </c>
    </row>
    <row r="838" spans="1:17" x14ac:dyDescent="0.25">
      <c r="A838" t="s">
        <v>17</v>
      </c>
      <c r="B838" s="1">
        <v>41718</v>
      </c>
      <c r="C838" t="s">
        <v>786</v>
      </c>
      <c r="D838" t="str">
        <f>CONCATENATE("0060017500","")</f>
        <v>0060017500</v>
      </c>
      <c r="E838" t="str">
        <f>CONCATENATE("0120568000250       ","")</f>
        <v xml:space="preserve">0120568000250       </v>
      </c>
      <c r="F838" t="str">
        <f>CONCATENATE("0606144554","")</f>
        <v>0606144554</v>
      </c>
      <c r="G838" t="s">
        <v>1213</v>
      </c>
      <c r="H838" t="s">
        <v>1449</v>
      </c>
      <c r="I838" t="s">
        <v>1450</v>
      </c>
      <c r="J838" t="str">
        <f t="shared" si="96"/>
        <v>081210</v>
      </c>
      <c r="K838" t="s">
        <v>22</v>
      </c>
      <c r="L838" t="s">
        <v>23</v>
      </c>
      <c r="M838" t="str">
        <f t="shared" si="95"/>
        <v>1</v>
      </c>
      <c r="O838" t="str">
        <f>CONCATENATE("1 ","")</f>
        <v xml:space="preserve">1 </v>
      </c>
      <c r="P838">
        <v>16.149999999999999</v>
      </c>
      <c r="Q838" t="s">
        <v>24</v>
      </c>
    </row>
    <row r="839" spans="1:17" x14ac:dyDescent="0.25">
      <c r="A839" t="s">
        <v>17</v>
      </c>
      <c r="B839" s="1">
        <v>41718</v>
      </c>
      <c r="C839" t="s">
        <v>786</v>
      </c>
      <c r="D839" t="str">
        <f>CONCATENATE("0060017515","")</f>
        <v>0060017515</v>
      </c>
      <c r="E839" t="str">
        <f>CONCATENATE("0120569000090       ","")</f>
        <v xml:space="preserve">0120569000090       </v>
      </c>
      <c r="F839" t="str">
        <f>CONCATENATE("0606095735","")</f>
        <v>0606095735</v>
      </c>
      <c r="G839" t="s">
        <v>1451</v>
      </c>
      <c r="H839" t="s">
        <v>1452</v>
      </c>
      <c r="I839" t="s">
        <v>1453</v>
      </c>
      <c r="J839" t="str">
        <f t="shared" si="96"/>
        <v>081210</v>
      </c>
      <c r="K839" t="s">
        <v>22</v>
      </c>
      <c r="L839" t="s">
        <v>23</v>
      </c>
      <c r="M839" t="str">
        <f t="shared" si="95"/>
        <v>1</v>
      </c>
      <c r="O839" t="str">
        <f>CONCATENATE("4 ","")</f>
        <v xml:space="preserve">4 </v>
      </c>
      <c r="P839">
        <v>31.7</v>
      </c>
      <c r="Q839" t="s">
        <v>24</v>
      </c>
    </row>
    <row r="840" spans="1:17" x14ac:dyDescent="0.25">
      <c r="A840" t="s">
        <v>17</v>
      </c>
      <c r="B840" s="1">
        <v>41718</v>
      </c>
      <c r="C840" t="s">
        <v>786</v>
      </c>
      <c r="D840" t="str">
        <f>CONCATENATE("0060017541","")</f>
        <v>0060017541</v>
      </c>
      <c r="E840" t="str">
        <f>CONCATENATE("0120570000110       ","")</f>
        <v xml:space="preserve">0120570000110       </v>
      </c>
      <c r="F840" t="str">
        <f>CONCATENATE("0606144052","")</f>
        <v>0606144052</v>
      </c>
      <c r="G840" t="s">
        <v>1213</v>
      </c>
      <c r="H840" t="s">
        <v>1454</v>
      </c>
      <c r="I840" t="s">
        <v>1455</v>
      </c>
      <c r="J840" t="str">
        <f t="shared" si="96"/>
        <v>081210</v>
      </c>
      <c r="K840" t="s">
        <v>22</v>
      </c>
      <c r="L840" t="s">
        <v>23</v>
      </c>
      <c r="M840" t="str">
        <f t="shared" si="95"/>
        <v>1</v>
      </c>
      <c r="O840" t="str">
        <f t="shared" ref="O840:O849" si="97">CONCATENATE("1 ","")</f>
        <v xml:space="preserve">1 </v>
      </c>
      <c r="P840">
        <v>14.2</v>
      </c>
      <c r="Q840" t="s">
        <v>24</v>
      </c>
    </row>
    <row r="841" spans="1:17" x14ac:dyDescent="0.25">
      <c r="A841" t="s">
        <v>17</v>
      </c>
      <c r="B841" s="1">
        <v>41718</v>
      </c>
      <c r="C841" t="s">
        <v>786</v>
      </c>
      <c r="D841" t="str">
        <f>CONCATENATE("0060017914","")</f>
        <v>0060017914</v>
      </c>
      <c r="E841" t="str">
        <f>CONCATENATE("0120571000190       ","")</f>
        <v xml:space="preserve">0120571000190       </v>
      </c>
      <c r="F841" t="str">
        <f>CONCATENATE("0606143704","")</f>
        <v>0606143704</v>
      </c>
      <c r="G841" t="s">
        <v>1213</v>
      </c>
      <c r="H841" t="s">
        <v>1456</v>
      </c>
      <c r="I841" t="s">
        <v>1457</v>
      </c>
      <c r="J841" t="str">
        <f t="shared" si="96"/>
        <v>081210</v>
      </c>
      <c r="K841" t="s">
        <v>22</v>
      </c>
      <c r="L841" t="s">
        <v>23</v>
      </c>
      <c r="M841" t="str">
        <f t="shared" si="95"/>
        <v>1</v>
      </c>
      <c r="O841" t="str">
        <f t="shared" si="97"/>
        <v xml:space="preserve">1 </v>
      </c>
      <c r="P841">
        <v>21.45</v>
      </c>
      <c r="Q841" t="s">
        <v>24</v>
      </c>
    </row>
    <row r="842" spans="1:17" x14ac:dyDescent="0.25">
      <c r="A842" t="s">
        <v>17</v>
      </c>
      <c r="B842" s="1">
        <v>41718</v>
      </c>
      <c r="C842" t="s">
        <v>786</v>
      </c>
      <c r="D842" t="str">
        <f>CONCATENATE("0060017612","")</f>
        <v>0060017612</v>
      </c>
      <c r="E842" t="str">
        <f>CONCATENATE("0120573000220       ","")</f>
        <v xml:space="preserve">0120573000220       </v>
      </c>
      <c r="F842" t="str">
        <f>CONCATENATE("0606143370","")</f>
        <v>0606143370</v>
      </c>
      <c r="G842" t="s">
        <v>1458</v>
      </c>
      <c r="H842" t="s">
        <v>1459</v>
      </c>
      <c r="I842" t="s">
        <v>1460</v>
      </c>
      <c r="J842" t="str">
        <f t="shared" si="96"/>
        <v>081210</v>
      </c>
      <c r="K842" t="s">
        <v>22</v>
      </c>
      <c r="L842" t="s">
        <v>23</v>
      </c>
      <c r="M842" t="str">
        <f t="shared" si="95"/>
        <v>1</v>
      </c>
      <c r="O842" t="str">
        <f t="shared" si="97"/>
        <v xml:space="preserve">1 </v>
      </c>
      <c r="P842">
        <v>21.15</v>
      </c>
      <c r="Q842" t="s">
        <v>24</v>
      </c>
    </row>
    <row r="843" spans="1:17" x14ac:dyDescent="0.25">
      <c r="A843" t="s">
        <v>17</v>
      </c>
      <c r="B843" s="1">
        <v>41718</v>
      </c>
      <c r="C843" t="s">
        <v>786</v>
      </c>
      <c r="D843" t="str">
        <f>CONCATENATE("0060017613","")</f>
        <v>0060017613</v>
      </c>
      <c r="E843" t="str">
        <f>CONCATENATE("0120573000230       ","")</f>
        <v xml:space="preserve">0120573000230       </v>
      </c>
      <c r="F843" t="str">
        <f>CONCATENATE("0606143356","")</f>
        <v>0606143356</v>
      </c>
      <c r="G843" t="s">
        <v>1458</v>
      </c>
      <c r="H843" t="s">
        <v>1461</v>
      </c>
      <c r="I843" t="s">
        <v>1460</v>
      </c>
      <c r="J843" t="str">
        <f t="shared" si="96"/>
        <v>081210</v>
      </c>
      <c r="K843" t="s">
        <v>22</v>
      </c>
      <c r="L843" t="s">
        <v>23</v>
      </c>
      <c r="M843" t="str">
        <f t="shared" si="95"/>
        <v>1</v>
      </c>
      <c r="O843" t="str">
        <f t="shared" si="97"/>
        <v xml:space="preserve">1 </v>
      </c>
      <c r="P843">
        <v>13.45</v>
      </c>
      <c r="Q843" t="s">
        <v>24</v>
      </c>
    </row>
    <row r="844" spans="1:17" x14ac:dyDescent="0.25">
      <c r="A844" t="s">
        <v>17</v>
      </c>
      <c r="B844" s="1">
        <v>41718</v>
      </c>
      <c r="C844" t="s">
        <v>786</v>
      </c>
      <c r="D844" t="str">
        <f>CONCATENATE("0060017635","")</f>
        <v>0060017635</v>
      </c>
      <c r="E844" t="str">
        <f>CONCATENATE("0120573000450       ","")</f>
        <v xml:space="preserve">0120573000450       </v>
      </c>
      <c r="F844" t="str">
        <f>CONCATENATE("0606143362","")</f>
        <v>0606143362</v>
      </c>
      <c r="G844" t="s">
        <v>1458</v>
      </c>
      <c r="H844" t="s">
        <v>1462</v>
      </c>
      <c r="I844" t="s">
        <v>1460</v>
      </c>
      <c r="J844" t="str">
        <f t="shared" si="96"/>
        <v>081210</v>
      </c>
      <c r="K844" t="s">
        <v>22</v>
      </c>
      <c r="L844" t="s">
        <v>23</v>
      </c>
      <c r="M844" t="str">
        <f t="shared" si="95"/>
        <v>1</v>
      </c>
      <c r="O844" t="str">
        <f t="shared" si="97"/>
        <v xml:space="preserve">1 </v>
      </c>
      <c r="P844">
        <v>16.399999999999999</v>
      </c>
      <c r="Q844" t="s">
        <v>24</v>
      </c>
    </row>
    <row r="845" spans="1:17" x14ac:dyDescent="0.25">
      <c r="A845" t="s">
        <v>17</v>
      </c>
      <c r="B845" s="1">
        <v>41718</v>
      </c>
      <c r="C845" t="s">
        <v>786</v>
      </c>
      <c r="D845" t="str">
        <f>CONCATENATE("0060018241","")</f>
        <v>0060018241</v>
      </c>
      <c r="E845" t="str">
        <f>CONCATENATE("0120573000480       ","")</f>
        <v xml:space="preserve">0120573000480       </v>
      </c>
      <c r="F845" t="str">
        <f>CONCATENATE("0606143956","")</f>
        <v>0606143956</v>
      </c>
      <c r="G845" t="s">
        <v>1213</v>
      </c>
      <c r="H845" t="s">
        <v>1463</v>
      </c>
      <c r="I845" t="s">
        <v>1460</v>
      </c>
      <c r="J845" t="str">
        <f t="shared" si="96"/>
        <v>081210</v>
      </c>
      <c r="K845" t="s">
        <v>22</v>
      </c>
      <c r="L845" t="s">
        <v>23</v>
      </c>
      <c r="M845" t="str">
        <f t="shared" si="95"/>
        <v>1</v>
      </c>
      <c r="O845" t="str">
        <f t="shared" si="97"/>
        <v xml:space="preserve">1 </v>
      </c>
      <c r="P845">
        <v>28.9</v>
      </c>
      <c r="Q845" t="s">
        <v>24</v>
      </c>
    </row>
    <row r="846" spans="1:17" x14ac:dyDescent="0.25">
      <c r="A846" t="s">
        <v>17</v>
      </c>
      <c r="B846" s="1">
        <v>41718</v>
      </c>
      <c r="C846" t="s">
        <v>786</v>
      </c>
      <c r="D846" t="str">
        <f>CONCATENATE("0060017578","")</f>
        <v>0060017578</v>
      </c>
      <c r="E846" t="str">
        <f>CONCATENATE("0120574000060       ","")</f>
        <v xml:space="preserve">0120574000060       </v>
      </c>
      <c r="F846" t="str">
        <f>CONCATENATE("0606144301","")</f>
        <v>0606144301</v>
      </c>
      <c r="G846" t="s">
        <v>1464</v>
      </c>
      <c r="H846" t="s">
        <v>1465</v>
      </c>
      <c r="I846" t="s">
        <v>1466</v>
      </c>
      <c r="J846" t="str">
        <f t="shared" si="96"/>
        <v>081210</v>
      </c>
      <c r="K846" t="s">
        <v>22</v>
      </c>
      <c r="L846" t="s">
        <v>23</v>
      </c>
      <c r="M846" t="str">
        <f t="shared" si="95"/>
        <v>1</v>
      </c>
      <c r="O846" t="str">
        <f t="shared" si="97"/>
        <v xml:space="preserve">1 </v>
      </c>
      <c r="P846">
        <v>19.100000000000001</v>
      </c>
      <c r="Q846" t="s">
        <v>24</v>
      </c>
    </row>
    <row r="847" spans="1:17" x14ac:dyDescent="0.25">
      <c r="A847" t="s">
        <v>17</v>
      </c>
      <c r="B847" s="1">
        <v>41718</v>
      </c>
      <c r="C847" t="s">
        <v>786</v>
      </c>
      <c r="D847" t="str">
        <f>CONCATENATE("0060017670","")</f>
        <v>0060017670</v>
      </c>
      <c r="E847" t="str">
        <f>CONCATENATE("0120575000050       ","")</f>
        <v xml:space="preserve">0120575000050       </v>
      </c>
      <c r="F847" t="str">
        <f>CONCATENATE("0606095283","")</f>
        <v>0606095283</v>
      </c>
      <c r="G847" t="s">
        <v>1467</v>
      </c>
      <c r="H847" t="s">
        <v>1468</v>
      </c>
      <c r="I847" t="s">
        <v>1469</v>
      </c>
      <c r="J847" t="str">
        <f t="shared" si="96"/>
        <v>081210</v>
      </c>
      <c r="K847" t="s">
        <v>22</v>
      </c>
      <c r="L847" t="s">
        <v>23</v>
      </c>
      <c r="M847" t="str">
        <f t="shared" si="95"/>
        <v>1</v>
      </c>
      <c r="O847" t="str">
        <f t="shared" si="97"/>
        <v xml:space="preserve">1 </v>
      </c>
      <c r="P847">
        <v>14.45</v>
      </c>
      <c r="Q847" t="s">
        <v>24</v>
      </c>
    </row>
    <row r="848" spans="1:17" x14ac:dyDescent="0.25">
      <c r="A848" t="s">
        <v>17</v>
      </c>
      <c r="B848" s="1">
        <v>41718</v>
      </c>
      <c r="C848" t="s">
        <v>786</v>
      </c>
      <c r="D848" t="str">
        <f>CONCATENATE("0060017570","")</f>
        <v>0060017570</v>
      </c>
      <c r="E848" t="str">
        <f>CONCATENATE("0120577000050       ","")</f>
        <v xml:space="preserve">0120577000050       </v>
      </c>
      <c r="F848" t="str">
        <f>CONCATENATE("0606144310","")</f>
        <v>0606144310</v>
      </c>
      <c r="G848" t="s">
        <v>1470</v>
      </c>
      <c r="H848" t="s">
        <v>1471</v>
      </c>
      <c r="I848" t="s">
        <v>1472</v>
      </c>
      <c r="J848" t="str">
        <f t="shared" si="96"/>
        <v>081210</v>
      </c>
      <c r="K848" t="s">
        <v>22</v>
      </c>
      <c r="L848" t="s">
        <v>23</v>
      </c>
      <c r="M848" t="str">
        <f t="shared" si="95"/>
        <v>1</v>
      </c>
      <c r="O848" t="str">
        <f t="shared" si="97"/>
        <v xml:space="preserve">1 </v>
      </c>
      <c r="P848">
        <v>17.149999999999999</v>
      </c>
      <c r="Q848" t="s">
        <v>24</v>
      </c>
    </row>
    <row r="849" spans="1:17" x14ac:dyDescent="0.25">
      <c r="A849" t="s">
        <v>17</v>
      </c>
      <c r="B849" s="1">
        <v>41718</v>
      </c>
      <c r="C849" t="s">
        <v>786</v>
      </c>
      <c r="D849" t="str">
        <f>CONCATENATE("0060018435","")</f>
        <v>0060018435</v>
      </c>
      <c r="E849" t="str">
        <f>CONCATENATE("0120579000260       ","")</f>
        <v xml:space="preserve">0120579000260       </v>
      </c>
      <c r="F849" t="str">
        <f>CONCATENATE("0606306442","")</f>
        <v>0606306442</v>
      </c>
      <c r="G849" t="s">
        <v>1213</v>
      </c>
      <c r="H849" t="s">
        <v>1473</v>
      </c>
      <c r="I849" t="s">
        <v>1268</v>
      </c>
      <c r="J849" t="str">
        <f t="shared" si="96"/>
        <v>081210</v>
      </c>
      <c r="K849" t="s">
        <v>22</v>
      </c>
      <c r="L849" t="s">
        <v>23</v>
      </c>
      <c r="M849" t="str">
        <f t="shared" si="95"/>
        <v>1</v>
      </c>
      <c r="O849" t="str">
        <f t="shared" si="97"/>
        <v xml:space="preserve">1 </v>
      </c>
      <c r="P849">
        <v>11.4</v>
      </c>
      <c r="Q849" t="s">
        <v>24</v>
      </c>
    </row>
    <row r="850" spans="1:17" x14ac:dyDescent="0.25">
      <c r="A850" t="s">
        <v>17</v>
      </c>
      <c r="B850" s="1">
        <v>41718</v>
      </c>
      <c r="C850" t="s">
        <v>786</v>
      </c>
      <c r="D850" t="str">
        <f>CONCATENATE("0060018385","")</f>
        <v>0060018385</v>
      </c>
      <c r="E850" t="str">
        <f>CONCATENATE("0120581000030       ","")</f>
        <v xml:space="preserve">0120581000030       </v>
      </c>
      <c r="F850" t="str">
        <f>CONCATENATE("0606306398","")</f>
        <v>0606306398</v>
      </c>
      <c r="G850" t="s">
        <v>1213</v>
      </c>
      <c r="H850" t="s">
        <v>1474</v>
      </c>
      <c r="I850" t="s">
        <v>1262</v>
      </c>
      <c r="J850" t="str">
        <f t="shared" si="96"/>
        <v>081210</v>
      </c>
      <c r="K850" t="s">
        <v>22</v>
      </c>
      <c r="L850" t="s">
        <v>23</v>
      </c>
      <c r="M850" t="str">
        <f t="shared" si="95"/>
        <v>1</v>
      </c>
      <c r="O850" t="str">
        <f>CONCATENATE("3 ","")</f>
        <v xml:space="preserve">3 </v>
      </c>
      <c r="P850">
        <v>22.75</v>
      </c>
      <c r="Q850" t="s">
        <v>24</v>
      </c>
    </row>
    <row r="851" spans="1:17" x14ac:dyDescent="0.25">
      <c r="A851" t="s">
        <v>17</v>
      </c>
      <c r="B851" s="1">
        <v>41718</v>
      </c>
      <c r="C851" t="s">
        <v>786</v>
      </c>
      <c r="D851" t="str">
        <f>CONCATENATE("0060018388","")</f>
        <v>0060018388</v>
      </c>
      <c r="E851" t="str">
        <f>CONCATENATE("0120581000040       ","")</f>
        <v xml:space="preserve">0120581000040       </v>
      </c>
      <c r="F851" t="str">
        <f>CONCATENATE("0606306397","")</f>
        <v>0606306397</v>
      </c>
      <c r="G851" t="s">
        <v>1213</v>
      </c>
      <c r="H851" t="s">
        <v>1475</v>
      </c>
      <c r="I851" t="s">
        <v>1262</v>
      </c>
      <c r="J851" t="str">
        <f t="shared" si="96"/>
        <v>081210</v>
      </c>
      <c r="K851" t="s">
        <v>22</v>
      </c>
      <c r="L851" t="s">
        <v>23</v>
      </c>
      <c r="M851" t="str">
        <f t="shared" si="95"/>
        <v>1</v>
      </c>
      <c r="O851" t="str">
        <f>CONCATENATE("2 ","")</f>
        <v xml:space="preserve">2 </v>
      </c>
      <c r="P851">
        <v>25.9</v>
      </c>
      <c r="Q851" t="s">
        <v>24</v>
      </c>
    </row>
    <row r="852" spans="1:17" x14ac:dyDescent="0.25">
      <c r="A852" t="s">
        <v>17</v>
      </c>
      <c r="B852" s="1">
        <v>41718</v>
      </c>
      <c r="C852" t="s">
        <v>786</v>
      </c>
      <c r="D852" t="str">
        <f>CONCATENATE("0060018426","")</f>
        <v>0060018426</v>
      </c>
      <c r="E852" t="str">
        <f>CONCATENATE("0120581000050       ","")</f>
        <v xml:space="preserve">0120581000050       </v>
      </c>
      <c r="F852" t="str">
        <f>CONCATENATE("0606306392","")</f>
        <v>0606306392</v>
      </c>
      <c r="G852" t="s">
        <v>1213</v>
      </c>
      <c r="H852" t="s">
        <v>1476</v>
      </c>
      <c r="I852" t="s">
        <v>1477</v>
      </c>
      <c r="J852" t="str">
        <f t="shared" si="96"/>
        <v>081210</v>
      </c>
      <c r="K852" t="s">
        <v>22</v>
      </c>
      <c r="L852" t="s">
        <v>23</v>
      </c>
      <c r="M852" t="str">
        <f t="shared" si="95"/>
        <v>1</v>
      </c>
      <c r="O852" t="str">
        <f t="shared" ref="O852:O864" si="98">CONCATENATE("1 ","")</f>
        <v xml:space="preserve">1 </v>
      </c>
      <c r="P852">
        <v>13.6</v>
      </c>
      <c r="Q852" t="s">
        <v>24</v>
      </c>
    </row>
    <row r="853" spans="1:17" x14ac:dyDescent="0.25">
      <c r="A853" t="s">
        <v>17</v>
      </c>
      <c r="B853" s="1">
        <v>41718</v>
      </c>
      <c r="C853" t="s">
        <v>786</v>
      </c>
      <c r="D853" t="str">
        <f>CONCATENATE("0060018384","")</f>
        <v>0060018384</v>
      </c>
      <c r="E853" t="str">
        <f>CONCATENATE("0120581000110       ","")</f>
        <v xml:space="preserve">0120581000110       </v>
      </c>
      <c r="F853" t="str">
        <f>CONCATENATE("0606306391","")</f>
        <v>0606306391</v>
      </c>
      <c r="G853" t="s">
        <v>1213</v>
      </c>
      <c r="H853" t="s">
        <v>1478</v>
      </c>
      <c r="I853" t="s">
        <v>1262</v>
      </c>
      <c r="J853" t="str">
        <f t="shared" si="96"/>
        <v>081210</v>
      </c>
      <c r="K853" t="s">
        <v>22</v>
      </c>
      <c r="L853" t="s">
        <v>23</v>
      </c>
      <c r="M853" t="str">
        <f t="shared" si="95"/>
        <v>1</v>
      </c>
      <c r="O853" t="str">
        <f t="shared" si="98"/>
        <v xml:space="preserve">1 </v>
      </c>
      <c r="P853">
        <v>11.35</v>
      </c>
      <c r="Q853" t="s">
        <v>24</v>
      </c>
    </row>
    <row r="854" spans="1:17" x14ac:dyDescent="0.25">
      <c r="A854" t="s">
        <v>17</v>
      </c>
      <c r="B854" s="1">
        <v>41718</v>
      </c>
      <c r="C854" t="s">
        <v>794</v>
      </c>
      <c r="D854" t="str">
        <f>CONCATENATE("0060012440","")</f>
        <v>0060012440</v>
      </c>
      <c r="E854" t="str">
        <f>CONCATENATE("0120601000090       ","")</f>
        <v xml:space="preserve">0120601000090       </v>
      </c>
      <c r="F854" t="str">
        <f>CONCATENATE("605293272","")</f>
        <v>605293272</v>
      </c>
      <c r="G854" t="s">
        <v>1479</v>
      </c>
      <c r="H854" t="s">
        <v>1480</v>
      </c>
      <c r="I854" t="s">
        <v>1481</v>
      </c>
      <c r="J854" t="str">
        <f>CONCATENATE("081204","")</f>
        <v>081204</v>
      </c>
      <c r="K854" t="s">
        <v>22</v>
      </c>
      <c r="L854" t="s">
        <v>23</v>
      </c>
      <c r="M854" t="str">
        <f t="shared" si="95"/>
        <v>1</v>
      </c>
      <c r="O854" t="str">
        <f t="shared" si="98"/>
        <v xml:space="preserve">1 </v>
      </c>
      <c r="P854">
        <v>31.7</v>
      </c>
      <c r="Q854" t="s">
        <v>24</v>
      </c>
    </row>
    <row r="855" spans="1:17" x14ac:dyDescent="0.25">
      <c r="A855" t="s">
        <v>17</v>
      </c>
      <c r="B855" s="1">
        <v>41718</v>
      </c>
      <c r="C855" t="s">
        <v>794</v>
      </c>
      <c r="D855" t="str">
        <f>CONCATENATE("0060012452","")</f>
        <v>0060012452</v>
      </c>
      <c r="E855" t="str">
        <f>CONCATENATE("0120602000030       ","")</f>
        <v xml:space="preserve">0120602000030       </v>
      </c>
      <c r="F855" t="str">
        <f>CONCATENATE("605293277","")</f>
        <v>605293277</v>
      </c>
      <c r="G855" t="s">
        <v>1482</v>
      </c>
      <c r="H855" t="s">
        <v>1483</v>
      </c>
      <c r="I855" t="s">
        <v>1484</v>
      </c>
      <c r="J855" t="str">
        <f>CONCATENATE("081204","")</f>
        <v>081204</v>
      </c>
      <c r="K855" t="s">
        <v>22</v>
      </c>
      <c r="L855" t="s">
        <v>23</v>
      </c>
      <c r="M855" t="str">
        <f t="shared" si="95"/>
        <v>1</v>
      </c>
      <c r="O855" t="str">
        <f t="shared" si="98"/>
        <v xml:space="preserve">1 </v>
      </c>
      <c r="P855">
        <v>16</v>
      </c>
      <c r="Q855" t="s">
        <v>24</v>
      </c>
    </row>
    <row r="856" spans="1:17" x14ac:dyDescent="0.25">
      <c r="A856" t="s">
        <v>17</v>
      </c>
      <c r="B856" s="1">
        <v>41718</v>
      </c>
      <c r="C856" t="s">
        <v>486</v>
      </c>
      <c r="D856" t="str">
        <f>CONCATENATE("0060012503","")</f>
        <v>0060012503</v>
      </c>
      <c r="E856" t="str">
        <f>CONCATENATE("0120603000040       ","")</f>
        <v xml:space="preserve">0120603000040       </v>
      </c>
      <c r="F856" t="str">
        <f>CONCATENATE("605082740","")</f>
        <v>605082740</v>
      </c>
      <c r="G856" t="s">
        <v>1485</v>
      </c>
      <c r="H856" t="s">
        <v>1486</v>
      </c>
      <c r="I856" t="s">
        <v>1487</v>
      </c>
      <c r="J856" t="str">
        <f>CONCATENATE("081205","")</f>
        <v>081205</v>
      </c>
      <c r="K856" t="s">
        <v>22</v>
      </c>
      <c r="L856" t="s">
        <v>23</v>
      </c>
      <c r="M856" t="str">
        <f t="shared" si="95"/>
        <v>1</v>
      </c>
      <c r="O856" t="str">
        <f t="shared" si="98"/>
        <v xml:space="preserve">1 </v>
      </c>
      <c r="P856">
        <v>15.75</v>
      </c>
      <c r="Q856" t="s">
        <v>24</v>
      </c>
    </row>
    <row r="857" spans="1:17" x14ac:dyDescent="0.25">
      <c r="A857" t="s">
        <v>17</v>
      </c>
      <c r="B857" s="1">
        <v>41718</v>
      </c>
      <c r="C857" t="s">
        <v>486</v>
      </c>
      <c r="D857" t="str">
        <f>CONCATENATE("0060012513","")</f>
        <v>0060012513</v>
      </c>
      <c r="E857" t="str">
        <f>CONCATENATE("0120603000140       ","")</f>
        <v xml:space="preserve">0120603000140       </v>
      </c>
      <c r="F857" t="str">
        <f>CONCATENATE("605082762","")</f>
        <v>605082762</v>
      </c>
      <c r="G857" t="s">
        <v>1485</v>
      </c>
      <c r="H857" t="s">
        <v>1488</v>
      </c>
      <c r="I857" t="s">
        <v>1489</v>
      </c>
      <c r="J857" t="str">
        <f>CONCATENATE("081205","")</f>
        <v>081205</v>
      </c>
      <c r="K857" t="s">
        <v>22</v>
      </c>
      <c r="L857" t="s">
        <v>23</v>
      </c>
      <c r="M857" t="str">
        <f t="shared" si="95"/>
        <v>1</v>
      </c>
      <c r="O857" t="str">
        <f t="shared" si="98"/>
        <v xml:space="preserve">1 </v>
      </c>
      <c r="P857">
        <v>10.55</v>
      </c>
      <c r="Q857" t="s">
        <v>24</v>
      </c>
    </row>
    <row r="858" spans="1:17" x14ac:dyDescent="0.25">
      <c r="A858" t="s">
        <v>17</v>
      </c>
      <c r="B858" s="1">
        <v>41718</v>
      </c>
      <c r="C858" t="s">
        <v>486</v>
      </c>
      <c r="D858" t="str">
        <f>CONCATENATE("0060012515","")</f>
        <v>0060012515</v>
      </c>
      <c r="E858" t="str">
        <f>CONCATENATE("0120603000160       ","")</f>
        <v xml:space="preserve">0120603000160       </v>
      </c>
      <c r="F858" t="str">
        <f>CONCATENATE("605082747","")</f>
        <v>605082747</v>
      </c>
      <c r="G858" t="s">
        <v>1485</v>
      </c>
      <c r="H858" t="s">
        <v>1490</v>
      </c>
      <c r="I858" t="s">
        <v>1487</v>
      </c>
      <c r="J858" t="str">
        <f>CONCATENATE("081205","")</f>
        <v>081205</v>
      </c>
      <c r="K858" t="s">
        <v>22</v>
      </c>
      <c r="L858" t="s">
        <v>23</v>
      </c>
      <c r="M858" t="str">
        <f t="shared" si="95"/>
        <v>1</v>
      </c>
      <c r="O858" t="str">
        <f t="shared" si="98"/>
        <v xml:space="preserve">1 </v>
      </c>
      <c r="P858">
        <v>10.9</v>
      </c>
      <c r="Q858" t="s">
        <v>24</v>
      </c>
    </row>
    <row r="859" spans="1:17" x14ac:dyDescent="0.25">
      <c r="A859" t="s">
        <v>17</v>
      </c>
      <c r="B859" s="1">
        <v>41718</v>
      </c>
      <c r="C859" t="s">
        <v>486</v>
      </c>
      <c r="D859" t="str">
        <f>CONCATENATE("0060012522","")</f>
        <v>0060012522</v>
      </c>
      <c r="E859" t="str">
        <f>CONCATENATE("0120603000230       ","")</f>
        <v xml:space="preserve">0120603000230       </v>
      </c>
      <c r="F859" t="str">
        <f>CONCATENATE("605082755","")</f>
        <v>605082755</v>
      </c>
      <c r="G859" t="s">
        <v>1485</v>
      </c>
      <c r="H859" t="s">
        <v>1491</v>
      </c>
      <c r="I859" t="s">
        <v>1487</v>
      </c>
      <c r="J859" t="str">
        <f>CONCATENATE("081205","")</f>
        <v>081205</v>
      </c>
      <c r="K859" t="s">
        <v>22</v>
      </c>
      <c r="L859" t="s">
        <v>23</v>
      </c>
      <c r="M859" t="str">
        <f t="shared" si="95"/>
        <v>1</v>
      </c>
      <c r="O859" t="str">
        <f t="shared" si="98"/>
        <v xml:space="preserve">1 </v>
      </c>
      <c r="P859">
        <v>33.5</v>
      </c>
      <c r="Q859" t="s">
        <v>24</v>
      </c>
    </row>
    <row r="860" spans="1:17" x14ac:dyDescent="0.25">
      <c r="A860" t="s">
        <v>17</v>
      </c>
      <c r="B860" s="1">
        <v>41718</v>
      </c>
      <c r="C860" t="s">
        <v>794</v>
      </c>
      <c r="D860" t="str">
        <f>CONCATENATE("0060014624","")</f>
        <v>0060014624</v>
      </c>
      <c r="E860" t="str">
        <f>CONCATENATE("0120604000040       ","")</f>
        <v xml:space="preserve">0120604000040       </v>
      </c>
      <c r="F860" t="str">
        <f>CONCATENATE("605940600","")</f>
        <v>605940600</v>
      </c>
      <c r="G860" t="s">
        <v>1492</v>
      </c>
      <c r="H860" t="s">
        <v>1493</v>
      </c>
      <c r="I860" t="s">
        <v>1494</v>
      </c>
      <c r="J860" t="str">
        <f t="shared" ref="J860:J891" si="99">CONCATENATE("081204","")</f>
        <v>081204</v>
      </c>
      <c r="K860" t="s">
        <v>22</v>
      </c>
      <c r="L860" t="s">
        <v>23</v>
      </c>
      <c r="M860" t="str">
        <f t="shared" si="95"/>
        <v>1</v>
      </c>
      <c r="O860" t="str">
        <f t="shared" si="98"/>
        <v xml:space="preserve">1 </v>
      </c>
      <c r="P860">
        <v>10.5</v>
      </c>
      <c r="Q860" t="s">
        <v>24</v>
      </c>
    </row>
    <row r="861" spans="1:17" x14ac:dyDescent="0.25">
      <c r="A861" t="s">
        <v>17</v>
      </c>
      <c r="B861" s="1">
        <v>41718</v>
      </c>
      <c r="C861" t="s">
        <v>794</v>
      </c>
      <c r="D861" t="str">
        <f>CONCATENATE("0060014628","")</f>
        <v>0060014628</v>
      </c>
      <c r="E861" t="str">
        <f>CONCATENATE("0120604000050       ","")</f>
        <v xml:space="preserve">0120604000050       </v>
      </c>
      <c r="F861" t="str">
        <f>CONCATENATE("605933354","")</f>
        <v>605933354</v>
      </c>
      <c r="G861" t="s">
        <v>1492</v>
      </c>
      <c r="H861" t="s">
        <v>1495</v>
      </c>
      <c r="I861" t="s">
        <v>1496</v>
      </c>
      <c r="J861" t="str">
        <f t="shared" si="99"/>
        <v>081204</v>
      </c>
      <c r="K861" t="s">
        <v>22</v>
      </c>
      <c r="L861" t="s">
        <v>23</v>
      </c>
      <c r="M861" t="str">
        <f t="shared" si="95"/>
        <v>1</v>
      </c>
      <c r="O861" t="str">
        <f t="shared" si="98"/>
        <v xml:space="preserve">1 </v>
      </c>
      <c r="P861">
        <v>18.899999999999999</v>
      </c>
      <c r="Q861" t="s">
        <v>24</v>
      </c>
    </row>
    <row r="862" spans="1:17" x14ac:dyDescent="0.25">
      <c r="A862" t="s">
        <v>17</v>
      </c>
      <c r="B862" s="1">
        <v>41718</v>
      </c>
      <c r="C862" t="s">
        <v>794</v>
      </c>
      <c r="D862" t="str">
        <f>CONCATENATE("0060014626","")</f>
        <v>0060014626</v>
      </c>
      <c r="E862" t="str">
        <f>CONCATENATE("0120604000070       ","")</f>
        <v xml:space="preserve">0120604000070       </v>
      </c>
      <c r="F862" t="str">
        <f>CONCATENATE("605933339","")</f>
        <v>605933339</v>
      </c>
      <c r="G862" t="s">
        <v>1492</v>
      </c>
      <c r="H862" t="s">
        <v>1497</v>
      </c>
      <c r="I862" t="s">
        <v>1494</v>
      </c>
      <c r="J862" t="str">
        <f t="shared" si="99"/>
        <v>081204</v>
      </c>
      <c r="K862" t="s">
        <v>22</v>
      </c>
      <c r="L862" t="s">
        <v>23</v>
      </c>
      <c r="M862" t="str">
        <f t="shared" si="95"/>
        <v>1</v>
      </c>
      <c r="O862" t="str">
        <f t="shared" si="98"/>
        <v xml:space="preserve">1 </v>
      </c>
      <c r="P862">
        <v>18.149999999999999</v>
      </c>
      <c r="Q862" t="s">
        <v>24</v>
      </c>
    </row>
    <row r="863" spans="1:17" x14ac:dyDescent="0.25">
      <c r="A863" t="s">
        <v>17</v>
      </c>
      <c r="B863" s="1">
        <v>41718</v>
      </c>
      <c r="C863" t="s">
        <v>794</v>
      </c>
      <c r="D863" t="str">
        <f>CONCATENATE("0060014643","")</f>
        <v>0060014643</v>
      </c>
      <c r="E863" t="str">
        <f>CONCATENATE("0120604000120       ","")</f>
        <v xml:space="preserve">0120604000120       </v>
      </c>
      <c r="F863" t="str">
        <f>CONCATENATE("605933352","")</f>
        <v>605933352</v>
      </c>
      <c r="G863" t="s">
        <v>1492</v>
      </c>
      <c r="H863" t="s">
        <v>1498</v>
      </c>
      <c r="I863" t="s">
        <v>1494</v>
      </c>
      <c r="J863" t="str">
        <f t="shared" si="99"/>
        <v>081204</v>
      </c>
      <c r="K863" t="s">
        <v>22</v>
      </c>
      <c r="L863" t="s">
        <v>23</v>
      </c>
      <c r="M863" t="str">
        <f t="shared" si="95"/>
        <v>1</v>
      </c>
      <c r="O863" t="str">
        <f t="shared" si="98"/>
        <v xml:space="preserve">1 </v>
      </c>
      <c r="P863">
        <v>14.5</v>
      </c>
      <c r="Q863" t="s">
        <v>24</v>
      </c>
    </row>
    <row r="864" spans="1:17" x14ac:dyDescent="0.25">
      <c r="A864" t="s">
        <v>17</v>
      </c>
      <c r="B864" s="1">
        <v>41718</v>
      </c>
      <c r="C864" t="s">
        <v>794</v>
      </c>
      <c r="D864" t="str">
        <f>CONCATENATE("0060014621","")</f>
        <v>0060014621</v>
      </c>
      <c r="E864" t="str">
        <f>CONCATENATE("0120604000150       ","")</f>
        <v xml:space="preserve">0120604000150       </v>
      </c>
      <c r="F864" t="str">
        <f>CONCATENATE("605933350","")</f>
        <v>605933350</v>
      </c>
      <c r="G864" t="s">
        <v>542</v>
      </c>
      <c r="H864" t="s">
        <v>1499</v>
      </c>
      <c r="I864" t="s">
        <v>1494</v>
      </c>
      <c r="J864" t="str">
        <f t="shared" si="99"/>
        <v>081204</v>
      </c>
      <c r="K864" t="s">
        <v>22</v>
      </c>
      <c r="L864" t="s">
        <v>23</v>
      </c>
      <c r="M864" t="str">
        <f t="shared" si="95"/>
        <v>1</v>
      </c>
      <c r="O864" t="str">
        <f t="shared" si="98"/>
        <v xml:space="preserve">1 </v>
      </c>
      <c r="P864">
        <v>16.350000000000001</v>
      </c>
      <c r="Q864" t="s">
        <v>24</v>
      </c>
    </row>
    <row r="865" spans="1:17" x14ac:dyDescent="0.25">
      <c r="A865" t="s">
        <v>17</v>
      </c>
      <c r="B865" s="1">
        <v>41718</v>
      </c>
      <c r="C865" t="s">
        <v>794</v>
      </c>
      <c r="D865" t="str">
        <f>CONCATENATE("0060017355","")</f>
        <v>0060017355</v>
      </c>
      <c r="E865" t="str">
        <f>CONCATENATE("0120611000010       ","")</f>
        <v xml:space="preserve">0120611000010       </v>
      </c>
      <c r="F865" t="str">
        <f>CONCATENATE("0606144330","")</f>
        <v>0606144330</v>
      </c>
      <c r="G865" t="s">
        <v>1500</v>
      </c>
      <c r="H865" t="s">
        <v>1501</v>
      </c>
      <c r="I865" t="s">
        <v>1502</v>
      </c>
      <c r="J865" t="str">
        <f t="shared" si="99"/>
        <v>081204</v>
      </c>
      <c r="K865" t="s">
        <v>22</v>
      </c>
      <c r="L865" t="s">
        <v>23</v>
      </c>
      <c r="M865" t="str">
        <f t="shared" si="95"/>
        <v>1</v>
      </c>
      <c r="O865" t="str">
        <f>CONCATENATE("4 ","")</f>
        <v xml:space="preserve">4 </v>
      </c>
      <c r="P865">
        <v>78.150000000000006</v>
      </c>
      <c r="Q865" t="s">
        <v>24</v>
      </c>
    </row>
    <row r="866" spans="1:17" x14ac:dyDescent="0.25">
      <c r="A866" t="s">
        <v>17</v>
      </c>
      <c r="B866" s="1">
        <v>41718</v>
      </c>
      <c r="C866" t="s">
        <v>794</v>
      </c>
      <c r="D866" t="str">
        <f>CONCATENATE("0060017357","")</f>
        <v>0060017357</v>
      </c>
      <c r="E866" t="str">
        <f>CONCATENATE("0120611000020       ","")</f>
        <v xml:space="preserve">0120611000020       </v>
      </c>
      <c r="F866" t="str">
        <f>CONCATENATE("0606144499","")</f>
        <v>0606144499</v>
      </c>
      <c r="G866" t="s">
        <v>1500</v>
      </c>
      <c r="H866" t="s">
        <v>1503</v>
      </c>
      <c r="I866" t="s">
        <v>1502</v>
      </c>
      <c r="J866" t="str">
        <f t="shared" si="99"/>
        <v>081204</v>
      </c>
      <c r="K866" t="s">
        <v>22</v>
      </c>
      <c r="L866" t="s">
        <v>23</v>
      </c>
      <c r="M866" t="str">
        <f t="shared" si="95"/>
        <v>1</v>
      </c>
      <c r="O866" t="str">
        <f>CONCATENATE("2 ","")</f>
        <v xml:space="preserve">2 </v>
      </c>
      <c r="P866">
        <v>70.5</v>
      </c>
      <c r="Q866" t="s">
        <v>24</v>
      </c>
    </row>
    <row r="867" spans="1:17" x14ac:dyDescent="0.25">
      <c r="A867" t="s">
        <v>17</v>
      </c>
      <c r="B867" s="1">
        <v>41718</v>
      </c>
      <c r="C867" t="s">
        <v>794</v>
      </c>
      <c r="D867" t="str">
        <f>CONCATENATE("0060017372","")</f>
        <v>0060017372</v>
      </c>
      <c r="E867" t="str">
        <f>CONCATENATE("0120611000095       ","")</f>
        <v xml:space="preserve">0120611000095       </v>
      </c>
      <c r="F867" t="str">
        <f>CONCATENATE("0606144504","")</f>
        <v>0606144504</v>
      </c>
      <c r="G867" t="s">
        <v>1500</v>
      </c>
      <c r="H867" t="s">
        <v>1504</v>
      </c>
      <c r="I867" t="s">
        <v>1502</v>
      </c>
      <c r="J867" t="str">
        <f t="shared" si="99"/>
        <v>081204</v>
      </c>
      <c r="K867" t="s">
        <v>22</v>
      </c>
      <c r="L867" t="s">
        <v>23</v>
      </c>
      <c r="M867" t="str">
        <f t="shared" si="95"/>
        <v>1</v>
      </c>
      <c r="O867" t="str">
        <f>CONCATENATE("1 ","")</f>
        <v xml:space="preserve">1 </v>
      </c>
      <c r="P867">
        <v>18.100000000000001</v>
      </c>
      <c r="Q867" t="s">
        <v>24</v>
      </c>
    </row>
    <row r="868" spans="1:17" x14ac:dyDescent="0.25">
      <c r="A868" t="s">
        <v>17</v>
      </c>
      <c r="B868" s="1">
        <v>41718</v>
      </c>
      <c r="C868" t="s">
        <v>794</v>
      </c>
      <c r="D868" t="str">
        <f>CONCATENATE("0060017378","")</f>
        <v>0060017378</v>
      </c>
      <c r="E868" t="str">
        <f>CONCATENATE("0120611000125       ","")</f>
        <v xml:space="preserve">0120611000125       </v>
      </c>
      <c r="F868" t="str">
        <f>CONCATENATE("0606144483","")</f>
        <v>0606144483</v>
      </c>
      <c r="G868" t="s">
        <v>1500</v>
      </c>
      <c r="H868" t="s">
        <v>1505</v>
      </c>
      <c r="I868" t="s">
        <v>1502</v>
      </c>
      <c r="J868" t="str">
        <f t="shared" si="99"/>
        <v>081204</v>
      </c>
      <c r="K868" t="s">
        <v>22</v>
      </c>
      <c r="L868" t="s">
        <v>23</v>
      </c>
      <c r="M868" t="str">
        <f t="shared" si="95"/>
        <v>1</v>
      </c>
      <c r="O868" t="str">
        <f>CONCATENATE("1 ","")</f>
        <v xml:space="preserve">1 </v>
      </c>
      <c r="P868">
        <v>14.1</v>
      </c>
      <c r="Q868" t="s">
        <v>24</v>
      </c>
    </row>
    <row r="869" spans="1:17" x14ac:dyDescent="0.25">
      <c r="A869" t="s">
        <v>17</v>
      </c>
      <c r="B869" s="1">
        <v>41718</v>
      </c>
      <c r="C869" t="s">
        <v>794</v>
      </c>
      <c r="D869" t="str">
        <f>CONCATENATE("0060017381","")</f>
        <v>0060017381</v>
      </c>
      <c r="E869" t="str">
        <f>CONCATENATE("0120611000140       ","")</f>
        <v xml:space="preserve">0120611000140       </v>
      </c>
      <c r="F869" t="str">
        <f>CONCATENATE("0606144489","")</f>
        <v>0606144489</v>
      </c>
      <c r="G869" t="s">
        <v>1500</v>
      </c>
      <c r="H869" t="s">
        <v>1506</v>
      </c>
      <c r="I869" t="s">
        <v>1502</v>
      </c>
      <c r="J869" t="str">
        <f t="shared" si="99"/>
        <v>081204</v>
      </c>
      <c r="K869" t="s">
        <v>22</v>
      </c>
      <c r="L869" t="s">
        <v>23</v>
      </c>
      <c r="M869" t="str">
        <f t="shared" si="95"/>
        <v>1</v>
      </c>
      <c r="O869" t="str">
        <f>CONCATENATE("1 ","")</f>
        <v xml:space="preserve">1 </v>
      </c>
      <c r="P869">
        <v>17.850000000000001</v>
      </c>
      <c r="Q869" t="s">
        <v>24</v>
      </c>
    </row>
    <row r="870" spans="1:17" x14ac:dyDescent="0.25">
      <c r="A870" t="s">
        <v>17</v>
      </c>
      <c r="B870" s="1">
        <v>41718</v>
      </c>
      <c r="C870" t="s">
        <v>794</v>
      </c>
      <c r="D870" t="str">
        <f>CONCATENATE("0060017382","")</f>
        <v>0060017382</v>
      </c>
      <c r="E870" t="str">
        <f>CONCATENATE("0120611000145       ","")</f>
        <v xml:space="preserve">0120611000145       </v>
      </c>
      <c r="F870" t="str">
        <f>CONCATENATE("0606144486","")</f>
        <v>0606144486</v>
      </c>
      <c r="G870" t="s">
        <v>1500</v>
      </c>
      <c r="H870" t="s">
        <v>1507</v>
      </c>
      <c r="I870" t="s">
        <v>1502</v>
      </c>
      <c r="J870" t="str">
        <f t="shared" si="99"/>
        <v>081204</v>
      </c>
      <c r="K870" t="s">
        <v>22</v>
      </c>
      <c r="L870" t="s">
        <v>23</v>
      </c>
      <c r="M870" t="str">
        <f t="shared" si="95"/>
        <v>1</v>
      </c>
      <c r="O870" t="str">
        <f>CONCATENATE("1 ","")</f>
        <v xml:space="preserve">1 </v>
      </c>
      <c r="P870">
        <v>28.25</v>
      </c>
      <c r="Q870" t="s">
        <v>24</v>
      </c>
    </row>
    <row r="871" spans="1:17" x14ac:dyDescent="0.25">
      <c r="A871" t="s">
        <v>17</v>
      </c>
      <c r="B871" s="1">
        <v>41718</v>
      </c>
      <c r="C871" t="s">
        <v>794</v>
      </c>
      <c r="D871" t="str">
        <f>CONCATENATE("0060017390","")</f>
        <v>0060017390</v>
      </c>
      <c r="E871" t="str">
        <f>CONCATENATE("0120611000185       ","")</f>
        <v xml:space="preserve">0120611000185       </v>
      </c>
      <c r="F871" t="str">
        <f>CONCATENATE("0606094792","")</f>
        <v>0606094792</v>
      </c>
      <c r="G871" t="s">
        <v>1500</v>
      </c>
      <c r="H871" t="s">
        <v>1508</v>
      </c>
      <c r="I871" t="s">
        <v>1502</v>
      </c>
      <c r="J871" t="str">
        <f t="shared" si="99"/>
        <v>081204</v>
      </c>
      <c r="K871" t="s">
        <v>22</v>
      </c>
      <c r="L871" t="s">
        <v>23</v>
      </c>
      <c r="M871" t="str">
        <f t="shared" si="95"/>
        <v>1</v>
      </c>
      <c r="O871" t="str">
        <f>CONCATENATE("2 ","")</f>
        <v xml:space="preserve">2 </v>
      </c>
      <c r="P871">
        <v>26.15</v>
      </c>
      <c r="Q871" t="s">
        <v>24</v>
      </c>
    </row>
    <row r="872" spans="1:17" x14ac:dyDescent="0.25">
      <c r="A872" t="s">
        <v>17</v>
      </c>
      <c r="B872" s="1">
        <v>41718</v>
      </c>
      <c r="C872" t="s">
        <v>794</v>
      </c>
      <c r="D872" t="str">
        <f>CONCATENATE("0060017395","")</f>
        <v>0060017395</v>
      </c>
      <c r="E872" t="str">
        <f>CONCATENATE("0120611000210       ","")</f>
        <v xml:space="preserve">0120611000210       </v>
      </c>
      <c r="F872" t="str">
        <f>CONCATENATE("0606094795","")</f>
        <v>0606094795</v>
      </c>
      <c r="G872" t="s">
        <v>1500</v>
      </c>
      <c r="H872" t="s">
        <v>1509</v>
      </c>
      <c r="I872" t="s">
        <v>1510</v>
      </c>
      <c r="J872" t="str">
        <f t="shared" si="99"/>
        <v>081204</v>
      </c>
      <c r="K872" t="s">
        <v>22</v>
      </c>
      <c r="L872" t="s">
        <v>23</v>
      </c>
      <c r="M872" t="str">
        <f t="shared" ref="M872:M928" si="100">CONCATENATE("1","")</f>
        <v>1</v>
      </c>
      <c r="O872" t="str">
        <f>CONCATENATE("3 ","")</f>
        <v xml:space="preserve">3 </v>
      </c>
      <c r="P872">
        <v>57.85</v>
      </c>
      <c r="Q872" t="s">
        <v>24</v>
      </c>
    </row>
    <row r="873" spans="1:17" x14ac:dyDescent="0.25">
      <c r="A873" t="s">
        <v>17</v>
      </c>
      <c r="B873" s="1">
        <v>41718</v>
      </c>
      <c r="C873" t="s">
        <v>794</v>
      </c>
      <c r="D873" t="str">
        <f>CONCATENATE("0060017440","")</f>
        <v>0060017440</v>
      </c>
      <c r="E873" t="str">
        <f>CONCATENATE("0120613000020       ","")</f>
        <v xml:space="preserve">0120613000020       </v>
      </c>
      <c r="F873" t="str">
        <f>CONCATENATE("0606144754","")</f>
        <v>0606144754</v>
      </c>
      <c r="G873" t="s">
        <v>1511</v>
      </c>
      <c r="H873" t="s">
        <v>1512</v>
      </c>
      <c r="I873" t="s">
        <v>1513</v>
      </c>
      <c r="J873" t="str">
        <f t="shared" si="99"/>
        <v>081204</v>
      </c>
      <c r="K873" t="s">
        <v>22</v>
      </c>
      <c r="L873" t="s">
        <v>23</v>
      </c>
      <c r="M873" t="str">
        <f t="shared" si="100"/>
        <v>1</v>
      </c>
      <c r="O873" t="str">
        <f>CONCATENATE("4 ","")</f>
        <v xml:space="preserve">4 </v>
      </c>
      <c r="P873">
        <v>30.3</v>
      </c>
      <c r="Q873" t="s">
        <v>24</v>
      </c>
    </row>
    <row r="874" spans="1:17" x14ac:dyDescent="0.25">
      <c r="A874" t="s">
        <v>17</v>
      </c>
      <c r="B874" s="1">
        <v>41718</v>
      </c>
      <c r="C874" t="s">
        <v>794</v>
      </c>
      <c r="D874" t="str">
        <f>CONCATENATE("0060017441","")</f>
        <v>0060017441</v>
      </c>
      <c r="E874" t="str">
        <f>CONCATENATE("0120613000030       ","")</f>
        <v xml:space="preserve">0120613000030       </v>
      </c>
      <c r="F874" t="str">
        <f>CONCATENATE("0606144255","")</f>
        <v>0606144255</v>
      </c>
      <c r="G874" t="s">
        <v>1511</v>
      </c>
      <c r="H874" t="s">
        <v>1514</v>
      </c>
      <c r="I874" t="s">
        <v>1513</v>
      </c>
      <c r="J874" t="str">
        <f t="shared" si="99"/>
        <v>081204</v>
      </c>
      <c r="K874" t="s">
        <v>22</v>
      </c>
      <c r="L874" t="s">
        <v>23</v>
      </c>
      <c r="M874" t="str">
        <f t="shared" si="100"/>
        <v>1</v>
      </c>
      <c r="O874" t="str">
        <f>CONCATENATE("4 ","")</f>
        <v xml:space="preserve">4 </v>
      </c>
      <c r="P874">
        <v>34.799999999999997</v>
      </c>
      <c r="Q874" t="s">
        <v>24</v>
      </c>
    </row>
    <row r="875" spans="1:17" x14ac:dyDescent="0.25">
      <c r="A875" t="s">
        <v>17</v>
      </c>
      <c r="B875" s="1">
        <v>41718</v>
      </c>
      <c r="C875" t="s">
        <v>794</v>
      </c>
      <c r="D875" t="str">
        <f>CONCATENATE("0060017447","")</f>
        <v>0060017447</v>
      </c>
      <c r="E875" t="str">
        <f>CONCATENATE("0120613000090       ","")</f>
        <v xml:space="preserve">0120613000090       </v>
      </c>
      <c r="F875" t="str">
        <f>CONCATENATE("0606144770","")</f>
        <v>0606144770</v>
      </c>
      <c r="G875" t="s">
        <v>1511</v>
      </c>
      <c r="H875" t="s">
        <v>1515</v>
      </c>
      <c r="I875" t="s">
        <v>1513</v>
      </c>
      <c r="J875" t="str">
        <f t="shared" si="99"/>
        <v>081204</v>
      </c>
      <c r="K875" t="s">
        <v>22</v>
      </c>
      <c r="L875" t="s">
        <v>23</v>
      </c>
      <c r="M875" t="str">
        <f t="shared" si="100"/>
        <v>1</v>
      </c>
      <c r="O875" t="str">
        <f>CONCATENATE("7 ","")</f>
        <v xml:space="preserve">7 </v>
      </c>
      <c r="P875">
        <v>57.45</v>
      </c>
      <c r="Q875" t="s">
        <v>24</v>
      </c>
    </row>
    <row r="876" spans="1:17" x14ac:dyDescent="0.25">
      <c r="A876" t="s">
        <v>17</v>
      </c>
      <c r="B876" s="1">
        <v>41718</v>
      </c>
      <c r="C876" t="s">
        <v>794</v>
      </c>
      <c r="D876" t="str">
        <f>CONCATENATE("0060018232","")</f>
        <v>0060018232</v>
      </c>
      <c r="E876" t="str">
        <f>CONCATENATE("0120613000220       ","")</f>
        <v xml:space="preserve">0120613000220       </v>
      </c>
      <c r="F876" t="str">
        <f>CONCATENATE("0606144762","")</f>
        <v>0606144762</v>
      </c>
      <c r="G876" t="s">
        <v>1492</v>
      </c>
      <c r="H876" t="s">
        <v>1516</v>
      </c>
      <c r="I876" t="s">
        <v>1513</v>
      </c>
      <c r="J876" t="str">
        <f t="shared" si="99"/>
        <v>081204</v>
      </c>
      <c r="K876" t="s">
        <v>22</v>
      </c>
      <c r="L876" t="s">
        <v>23</v>
      </c>
      <c r="M876" t="str">
        <f t="shared" si="100"/>
        <v>1</v>
      </c>
      <c r="O876" t="str">
        <f>CONCATENATE("1 ","")</f>
        <v xml:space="preserve">1 </v>
      </c>
      <c r="P876">
        <v>14.85</v>
      </c>
      <c r="Q876" t="s">
        <v>24</v>
      </c>
    </row>
    <row r="877" spans="1:17" x14ac:dyDescent="0.25">
      <c r="A877" t="s">
        <v>17</v>
      </c>
      <c r="B877" s="1">
        <v>41718</v>
      </c>
      <c r="C877" t="s">
        <v>794</v>
      </c>
      <c r="D877" t="str">
        <f>CONCATENATE("0060017169","")</f>
        <v>0060017169</v>
      </c>
      <c r="E877" t="str">
        <f>CONCATENATE("0120614000010       ","")</f>
        <v xml:space="preserve">0120614000010       </v>
      </c>
      <c r="F877" t="str">
        <f>CONCATENATE("1235718","")</f>
        <v>1235718</v>
      </c>
      <c r="G877" t="s">
        <v>1492</v>
      </c>
      <c r="H877" t="s">
        <v>1517</v>
      </c>
      <c r="I877" t="s">
        <v>1518</v>
      </c>
      <c r="J877" t="str">
        <f t="shared" si="99"/>
        <v>081204</v>
      </c>
      <c r="K877" t="s">
        <v>22</v>
      </c>
      <c r="L877" t="s">
        <v>23</v>
      </c>
      <c r="M877" t="str">
        <f t="shared" si="100"/>
        <v>1</v>
      </c>
      <c r="O877" t="str">
        <f>CONCATENATE("2 ","")</f>
        <v xml:space="preserve">2 </v>
      </c>
      <c r="P877">
        <v>19.3</v>
      </c>
      <c r="Q877" t="s">
        <v>24</v>
      </c>
    </row>
    <row r="878" spans="1:17" x14ac:dyDescent="0.25">
      <c r="A878" t="s">
        <v>17</v>
      </c>
      <c r="B878" s="1">
        <v>41718</v>
      </c>
      <c r="C878" t="s">
        <v>794</v>
      </c>
      <c r="D878" t="str">
        <f>CONCATENATE("0060017173","")</f>
        <v>0060017173</v>
      </c>
      <c r="E878" t="str">
        <f>CONCATENATE("0120614000050       ","")</f>
        <v xml:space="preserve">0120614000050       </v>
      </c>
      <c r="F878" t="str">
        <f>CONCATENATE("1235715","")</f>
        <v>1235715</v>
      </c>
      <c r="G878" t="s">
        <v>1492</v>
      </c>
      <c r="H878" t="s">
        <v>1519</v>
      </c>
      <c r="I878" t="s">
        <v>1518</v>
      </c>
      <c r="J878" t="str">
        <f t="shared" si="99"/>
        <v>081204</v>
      </c>
      <c r="K878" t="s">
        <v>22</v>
      </c>
      <c r="L878" t="s">
        <v>23</v>
      </c>
      <c r="M878" t="str">
        <f t="shared" si="100"/>
        <v>1</v>
      </c>
      <c r="O878" t="str">
        <f t="shared" ref="O878:O887" si="101">CONCATENATE("1 ","")</f>
        <v xml:space="preserve">1 </v>
      </c>
      <c r="P878">
        <v>15.05</v>
      </c>
      <c r="Q878" t="s">
        <v>24</v>
      </c>
    </row>
    <row r="879" spans="1:17" x14ac:dyDescent="0.25">
      <c r="A879" t="s">
        <v>17</v>
      </c>
      <c r="B879" s="1">
        <v>41718</v>
      </c>
      <c r="C879" t="s">
        <v>794</v>
      </c>
      <c r="D879" t="str">
        <f>CONCATENATE("0060017174","")</f>
        <v>0060017174</v>
      </c>
      <c r="E879" t="str">
        <f>CONCATENATE("0120614000060       ","")</f>
        <v xml:space="preserve">0120614000060       </v>
      </c>
      <c r="F879" t="str">
        <f>CONCATENATE("1235719","")</f>
        <v>1235719</v>
      </c>
      <c r="G879" t="s">
        <v>1492</v>
      </c>
      <c r="H879" t="s">
        <v>1520</v>
      </c>
      <c r="I879" t="s">
        <v>1518</v>
      </c>
      <c r="J879" t="str">
        <f t="shared" si="99"/>
        <v>081204</v>
      </c>
      <c r="K879" t="s">
        <v>22</v>
      </c>
      <c r="L879" t="s">
        <v>23</v>
      </c>
      <c r="M879" t="str">
        <f t="shared" si="100"/>
        <v>1</v>
      </c>
      <c r="O879" t="str">
        <f t="shared" si="101"/>
        <v xml:space="preserve">1 </v>
      </c>
      <c r="P879">
        <v>12.8</v>
      </c>
      <c r="Q879" t="s">
        <v>24</v>
      </c>
    </row>
    <row r="880" spans="1:17" x14ac:dyDescent="0.25">
      <c r="A880" t="s">
        <v>17</v>
      </c>
      <c r="B880" s="1">
        <v>41718</v>
      </c>
      <c r="C880" t="s">
        <v>794</v>
      </c>
      <c r="D880" t="str">
        <f>CONCATENATE("0060017177","")</f>
        <v>0060017177</v>
      </c>
      <c r="E880" t="str">
        <f>CONCATENATE("0120614000090       ","")</f>
        <v xml:space="preserve">0120614000090       </v>
      </c>
      <c r="F880" t="str">
        <f>CONCATENATE("1235697","")</f>
        <v>1235697</v>
      </c>
      <c r="G880" t="s">
        <v>1492</v>
      </c>
      <c r="H880" t="s">
        <v>1521</v>
      </c>
      <c r="I880" t="s">
        <v>1518</v>
      </c>
      <c r="J880" t="str">
        <f t="shared" si="99"/>
        <v>081204</v>
      </c>
      <c r="K880" t="s">
        <v>22</v>
      </c>
      <c r="L880" t="s">
        <v>23</v>
      </c>
      <c r="M880" t="str">
        <f t="shared" si="100"/>
        <v>1</v>
      </c>
      <c r="O880" t="str">
        <f t="shared" si="101"/>
        <v xml:space="preserve">1 </v>
      </c>
      <c r="P880">
        <v>13.85</v>
      </c>
      <c r="Q880" t="s">
        <v>24</v>
      </c>
    </row>
    <row r="881" spans="1:17" x14ac:dyDescent="0.25">
      <c r="A881" t="s">
        <v>17</v>
      </c>
      <c r="B881" s="1">
        <v>41718</v>
      </c>
      <c r="C881" t="s">
        <v>794</v>
      </c>
      <c r="D881" t="str">
        <f>CONCATENATE("0060017183","")</f>
        <v>0060017183</v>
      </c>
      <c r="E881" t="str">
        <f>CONCATENATE("0120615000050       ","")</f>
        <v xml:space="preserve">0120615000050       </v>
      </c>
      <c r="F881" t="str">
        <f>CONCATENATE("1235689","")</f>
        <v>1235689</v>
      </c>
      <c r="G881" t="s">
        <v>1492</v>
      </c>
      <c r="H881" t="s">
        <v>1522</v>
      </c>
      <c r="I881" t="s">
        <v>1523</v>
      </c>
      <c r="J881" t="str">
        <f t="shared" si="99"/>
        <v>081204</v>
      </c>
      <c r="K881" t="s">
        <v>22</v>
      </c>
      <c r="L881" t="s">
        <v>23</v>
      </c>
      <c r="M881" t="str">
        <f t="shared" si="100"/>
        <v>1</v>
      </c>
      <c r="O881" t="str">
        <f t="shared" si="101"/>
        <v xml:space="preserve">1 </v>
      </c>
      <c r="P881">
        <v>18.100000000000001</v>
      </c>
      <c r="Q881" t="s">
        <v>24</v>
      </c>
    </row>
    <row r="882" spans="1:17" x14ac:dyDescent="0.25">
      <c r="A882" t="s">
        <v>17</v>
      </c>
      <c r="B882" s="1">
        <v>41718</v>
      </c>
      <c r="C882" t="s">
        <v>794</v>
      </c>
      <c r="D882" t="str">
        <f>CONCATENATE("0060017186","")</f>
        <v>0060017186</v>
      </c>
      <c r="E882" t="str">
        <f>CONCATENATE("0120615000080       ","")</f>
        <v xml:space="preserve">0120615000080       </v>
      </c>
      <c r="F882" t="str">
        <f>CONCATENATE("1235704","")</f>
        <v>1235704</v>
      </c>
      <c r="G882" t="s">
        <v>1492</v>
      </c>
      <c r="H882" t="s">
        <v>1524</v>
      </c>
      <c r="I882" t="s">
        <v>1523</v>
      </c>
      <c r="J882" t="str">
        <f t="shared" si="99"/>
        <v>081204</v>
      </c>
      <c r="K882" t="s">
        <v>22</v>
      </c>
      <c r="L882" t="s">
        <v>23</v>
      </c>
      <c r="M882" t="str">
        <f t="shared" si="100"/>
        <v>1</v>
      </c>
      <c r="O882" t="str">
        <f t="shared" si="101"/>
        <v xml:space="preserve">1 </v>
      </c>
      <c r="P882">
        <v>17.45</v>
      </c>
      <c r="Q882" t="s">
        <v>24</v>
      </c>
    </row>
    <row r="883" spans="1:17" x14ac:dyDescent="0.25">
      <c r="A883" t="s">
        <v>17</v>
      </c>
      <c r="B883" s="1">
        <v>41718</v>
      </c>
      <c r="C883" t="s">
        <v>794</v>
      </c>
      <c r="D883" t="str">
        <f>CONCATENATE("0060017188","")</f>
        <v>0060017188</v>
      </c>
      <c r="E883" t="str">
        <f>CONCATENATE("0120615000200       ","")</f>
        <v xml:space="preserve">0120615000200       </v>
      </c>
      <c r="F883" t="str">
        <f>CONCATENATE("1235709","")</f>
        <v>1235709</v>
      </c>
      <c r="G883" t="s">
        <v>1492</v>
      </c>
      <c r="H883" t="s">
        <v>1525</v>
      </c>
      <c r="I883" t="s">
        <v>1523</v>
      </c>
      <c r="J883" t="str">
        <f t="shared" si="99"/>
        <v>081204</v>
      </c>
      <c r="K883" t="s">
        <v>22</v>
      </c>
      <c r="L883" t="s">
        <v>23</v>
      </c>
      <c r="M883" t="str">
        <f t="shared" si="100"/>
        <v>1</v>
      </c>
      <c r="O883" t="str">
        <f t="shared" si="101"/>
        <v xml:space="preserve">1 </v>
      </c>
      <c r="P883">
        <v>15.8</v>
      </c>
      <c r="Q883" t="s">
        <v>24</v>
      </c>
    </row>
    <row r="884" spans="1:17" x14ac:dyDescent="0.25">
      <c r="A884" t="s">
        <v>17</v>
      </c>
      <c r="B884" s="1">
        <v>41718</v>
      </c>
      <c r="C884" t="s">
        <v>794</v>
      </c>
      <c r="D884" t="str">
        <f>CONCATENATE("0060017192","")</f>
        <v>0060017192</v>
      </c>
      <c r="E884" t="str">
        <f>CONCATENATE("0120615000225       ","")</f>
        <v xml:space="preserve">0120615000225       </v>
      </c>
      <c r="F884" t="str">
        <f>CONCATENATE("1235696","")</f>
        <v>1235696</v>
      </c>
      <c r="G884" t="s">
        <v>1492</v>
      </c>
      <c r="H884" t="s">
        <v>1526</v>
      </c>
      <c r="I884" t="s">
        <v>1523</v>
      </c>
      <c r="J884" t="str">
        <f t="shared" si="99"/>
        <v>081204</v>
      </c>
      <c r="K884" t="s">
        <v>22</v>
      </c>
      <c r="L884" t="s">
        <v>23</v>
      </c>
      <c r="M884" t="str">
        <f t="shared" si="100"/>
        <v>1</v>
      </c>
      <c r="O884" t="str">
        <f t="shared" si="101"/>
        <v xml:space="preserve">1 </v>
      </c>
      <c r="P884">
        <v>14.8</v>
      </c>
      <c r="Q884" t="s">
        <v>24</v>
      </c>
    </row>
    <row r="885" spans="1:17" x14ac:dyDescent="0.25">
      <c r="A885" t="s">
        <v>17</v>
      </c>
      <c r="B885" s="1">
        <v>41718</v>
      </c>
      <c r="C885" t="s">
        <v>794</v>
      </c>
      <c r="D885" t="str">
        <f>CONCATENATE("0060017194","")</f>
        <v>0060017194</v>
      </c>
      <c r="E885" t="str">
        <f>CONCATENATE("0120615000235       ","")</f>
        <v xml:space="preserve">0120615000235       </v>
      </c>
      <c r="F885" t="str">
        <f>CONCATENATE("1235713","")</f>
        <v>1235713</v>
      </c>
      <c r="G885" t="s">
        <v>1492</v>
      </c>
      <c r="H885" t="s">
        <v>1527</v>
      </c>
      <c r="I885" t="s">
        <v>1523</v>
      </c>
      <c r="J885" t="str">
        <f t="shared" si="99"/>
        <v>081204</v>
      </c>
      <c r="K885" t="s">
        <v>22</v>
      </c>
      <c r="L885" t="s">
        <v>23</v>
      </c>
      <c r="M885" t="str">
        <f t="shared" si="100"/>
        <v>1</v>
      </c>
      <c r="O885" t="str">
        <f t="shared" si="101"/>
        <v xml:space="preserve">1 </v>
      </c>
      <c r="P885">
        <v>13.8</v>
      </c>
      <c r="Q885" t="s">
        <v>24</v>
      </c>
    </row>
    <row r="886" spans="1:17" x14ac:dyDescent="0.25">
      <c r="A886" t="s">
        <v>17</v>
      </c>
      <c r="B886" s="1">
        <v>41718</v>
      </c>
      <c r="C886" t="s">
        <v>794</v>
      </c>
      <c r="D886" t="str">
        <f>CONCATENATE("0060017335","")</f>
        <v>0060017335</v>
      </c>
      <c r="E886" t="str">
        <f>CONCATENATE("0120616000080       ","")</f>
        <v xml:space="preserve">0120616000080       </v>
      </c>
      <c r="F886" t="str">
        <f>CONCATENATE("0606144775","")</f>
        <v>0606144775</v>
      </c>
      <c r="G886" t="s">
        <v>1492</v>
      </c>
      <c r="H886" t="s">
        <v>1528</v>
      </c>
      <c r="I886" t="s">
        <v>1529</v>
      </c>
      <c r="J886" t="str">
        <f t="shared" si="99"/>
        <v>081204</v>
      </c>
      <c r="K886" t="s">
        <v>22</v>
      </c>
      <c r="L886" t="s">
        <v>23</v>
      </c>
      <c r="M886" t="str">
        <f t="shared" si="100"/>
        <v>1</v>
      </c>
      <c r="O886" t="str">
        <f t="shared" si="101"/>
        <v xml:space="preserve">1 </v>
      </c>
      <c r="P886">
        <v>12.85</v>
      </c>
      <c r="Q886" t="s">
        <v>24</v>
      </c>
    </row>
    <row r="887" spans="1:17" x14ac:dyDescent="0.25">
      <c r="A887" t="s">
        <v>17</v>
      </c>
      <c r="B887" s="1">
        <v>41718</v>
      </c>
      <c r="C887" t="s">
        <v>794</v>
      </c>
      <c r="D887" t="str">
        <f>CONCATENATE("0060017337","")</f>
        <v>0060017337</v>
      </c>
      <c r="E887" t="str">
        <f>CONCATENATE("0120616000100       ","")</f>
        <v xml:space="preserve">0120616000100       </v>
      </c>
      <c r="F887" t="str">
        <f>CONCATENATE("0606144766","")</f>
        <v>0606144766</v>
      </c>
      <c r="G887" t="s">
        <v>1492</v>
      </c>
      <c r="H887" t="s">
        <v>1530</v>
      </c>
      <c r="I887" t="s">
        <v>1529</v>
      </c>
      <c r="J887" t="str">
        <f t="shared" si="99"/>
        <v>081204</v>
      </c>
      <c r="K887" t="s">
        <v>22</v>
      </c>
      <c r="L887" t="s">
        <v>23</v>
      </c>
      <c r="M887" t="str">
        <f t="shared" si="100"/>
        <v>1</v>
      </c>
      <c r="O887" t="str">
        <f t="shared" si="101"/>
        <v xml:space="preserve">1 </v>
      </c>
      <c r="P887">
        <v>12.8</v>
      </c>
      <c r="Q887" t="s">
        <v>24</v>
      </c>
    </row>
    <row r="888" spans="1:17" x14ac:dyDescent="0.25">
      <c r="A888" t="s">
        <v>17</v>
      </c>
      <c r="B888" s="1">
        <v>41718</v>
      </c>
      <c r="C888" t="s">
        <v>794</v>
      </c>
      <c r="D888" t="str">
        <f>CONCATENATE("0060017346","")</f>
        <v>0060017346</v>
      </c>
      <c r="E888" t="str">
        <f>CONCATENATE("0120617000040       ","")</f>
        <v xml:space="preserve">0120617000040       </v>
      </c>
      <c r="F888" t="str">
        <f>CONCATENATE("0606143866","")</f>
        <v>0606143866</v>
      </c>
      <c r="G888" t="s">
        <v>1531</v>
      </c>
      <c r="H888" t="s">
        <v>1532</v>
      </c>
      <c r="I888" t="s">
        <v>1533</v>
      </c>
      <c r="J888" t="str">
        <f t="shared" si="99"/>
        <v>081204</v>
      </c>
      <c r="K888" t="s">
        <v>22</v>
      </c>
      <c r="L888" t="s">
        <v>23</v>
      </c>
      <c r="M888" t="str">
        <f t="shared" si="100"/>
        <v>1</v>
      </c>
      <c r="O888" t="str">
        <f>CONCATENATE("2 ","")</f>
        <v xml:space="preserve">2 </v>
      </c>
      <c r="P888">
        <v>20.399999999999999</v>
      </c>
      <c r="Q888" t="s">
        <v>24</v>
      </c>
    </row>
    <row r="889" spans="1:17" x14ac:dyDescent="0.25">
      <c r="A889" t="s">
        <v>17</v>
      </c>
      <c r="B889" s="1">
        <v>41718</v>
      </c>
      <c r="C889" t="s">
        <v>794</v>
      </c>
      <c r="D889" t="str">
        <f>CONCATENATE("0060017278","")</f>
        <v>0060017278</v>
      </c>
      <c r="E889" t="str">
        <f>CONCATENATE("0120618000030       ","")</f>
        <v xml:space="preserve">0120618000030       </v>
      </c>
      <c r="F889" t="str">
        <f>CONCATENATE("0606143601","")</f>
        <v>0606143601</v>
      </c>
      <c r="G889" t="s">
        <v>1534</v>
      </c>
      <c r="H889" t="s">
        <v>1535</v>
      </c>
      <c r="I889" t="s">
        <v>1536</v>
      </c>
      <c r="J889" t="str">
        <f t="shared" si="99"/>
        <v>081204</v>
      </c>
      <c r="K889" t="s">
        <v>22</v>
      </c>
      <c r="L889" t="s">
        <v>23</v>
      </c>
      <c r="M889" t="str">
        <f t="shared" si="100"/>
        <v>1</v>
      </c>
      <c r="O889" t="str">
        <f>CONCATENATE("1 ","")</f>
        <v xml:space="preserve">1 </v>
      </c>
      <c r="P889">
        <v>13.15</v>
      </c>
      <c r="Q889" t="s">
        <v>24</v>
      </c>
    </row>
    <row r="890" spans="1:17" x14ac:dyDescent="0.25">
      <c r="A890" t="s">
        <v>17</v>
      </c>
      <c r="B890" s="1">
        <v>41718</v>
      </c>
      <c r="C890" t="s">
        <v>794</v>
      </c>
      <c r="D890" t="str">
        <f>CONCATENATE("0060017279","")</f>
        <v>0060017279</v>
      </c>
      <c r="E890" t="str">
        <f>CONCATENATE("0120618000040       ","")</f>
        <v xml:space="preserve">0120618000040       </v>
      </c>
      <c r="F890" t="str">
        <f>CONCATENATE("0606144435","")</f>
        <v>0606144435</v>
      </c>
      <c r="G890" t="s">
        <v>1534</v>
      </c>
      <c r="H890" t="s">
        <v>1537</v>
      </c>
      <c r="I890" t="s">
        <v>1536</v>
      </c>
      <c r="J890" t="str">
        <f t="shared" si="99"/>
        <v>081204</v>
      </c>
      <c r="K890" t="s">
        <v>22</v>
      </c>
      <c r="L890" t="s">
        <v>23</v>
      </c>
      <c r="M890" t="str">
        <f t="shared" si="100"/>
        <v>1</v>
      </c>
      <c r="O890" t="str">
        <f>CONCATENATE("1 ","")</f>
        <v xml:space="preserve">1 </v>
      </c>
      <c r="P890">
        <v>14.8</v>
      </c>
      <c r="Q890" t="s">
        <v>24</v>
      </c>
    </row>
    <row r="891" spans="1:17" x14ac:dyDescent="0.25">
      <c r="A891" t="s">
        <v>17</v>
      </c>
      <c r="B891" s="1">
        <v>41718</v>
      </c>
      <c r="C891" t="s">
        <v>794</v>
      </c>
      <c r="D891" t="str">
        <f>CONCATENATE("0060017280","")</f>
        <v>0060017280</v>
      </c>
      <c r="E891" t="str">
        <f>CONCATENATE("0120618000050       ","")</f>
        <v xml:space="preserve">0120618000050       </v>
      </c>
      <c r="F891" t="str">
        <f>CONCATENATE("0606144429","")</f>
        <v>0606144429</v>
      </c>
      <c r="G891" t="s">
        <v>1534</v>
      </c>
      <c r="H891" t="s">
        <v>1538</v>
      </c>
      <c r="I891" t="s">
        <v>1536</v>
      </c>
      <c r="J891" t="str">
        <f t="shared" si="99"/>
        <v>081204</v>
      </c>
      <c r="K891" t="s">
        <v>22</v>
      </c>
      <c r="L891" t="s">
        <v>23</v>
      </c>
      <c r="M891" t="str">
        <f t="shared" si="100"/>
        <v>1</v>
      </c>
      <c r="O891" t="str">
        <f>CONCATENATE("1 ","")</f>
        <v xml:space="preserve">1 </v>
      </c>
      <c r="P891">
        <v>13.5</v>
      </c>
      <c r="Q891" t="s">
        <v>24</v>
      </c>
    </row>
    <row r="892" spans="1:17" x14ac:dyDescent="0.25">
      <c r="A892" t="s">
        <v>17</v>
      </c>
      <c r="B892" s="1">
        <v>41718</v>
      </c>
      <c r="C892" t="s">
        <v>794</v>
      </c>
      <c r="D892" t="str">
        <f>CONCATENATE("0060017293","")</f>
        <v>0060017293</v>
      </c>
      <c r="E892" t="str">
        <f>CONCATENATE("0120618000155       ","")</f>
        <v xml:space="preserve">0120618000155       </v>
      </c>
      <c r="F892" t="str">
        <f>CONCATENATE("0606144443","")</f>
        <v>0606144443</v>
      </c>
      <c r="G892" t="s">
        <v>1534</v>
      </c>
      <c r="H892" t="s">
        <v>1539</v>
      </c>
      <c r="I892" t="s">
        <v>1536</v>
      </c>
      <c r="J892" t="str">
        <f t="shared" ref="J892:J914" si="102">CONCATENATE("081204","")</f>
        <v>081204</v>
      </c>
      <c r="K892" t="s">
        <v>22</v>
      </c>
      <c r="L892" t="s">
        <v>23</v>
      </c>
      <c r="M892" t="str">
        <f t="shared" si="100"/>
        <v>1</v>
      </c>
      <c r="O892" t="str">
        <f>CONCATENATE("2 ","")</f>
        <v xml:space="preserve">2 </v>
      </c>
      <c r="P892">
        <v>19.649999999999999</v>
      </c>
      <c r="Q892" t="s">
        <v>24</v>
      </c>
    </row>
    <row r="893" spans="1:17" x14ac:dyDescent="0.25">
      <c r="A893" t="s">
        <v>17</v>
      </c>
      <c r="B893" s="1">
        <v>41718</v>
      </c>
      <c r="C893" t="s">
        <v>794</v>
      </c>
      <c r="D893" t="str">
        <f>CONCATENATE("0060017295","")</f>
        <v>0060017295</v>
      </c>
      <c r="E893" t="str">
        <f>CONCATENATE("0120618000165       ","")</f>
        <v xml:space="preserve">0120618000165       </v>
      </c>
      <c r="F893" t="str">
        <f>CONCATENATE("0606144447","")</f>
        <v>0606144447</v>
      </c>
      <c r="G893" t="s">
        <v>1534</v>
      </c>
      <c r="H893" t="s">
        <v>1540</v>
      </c>
      <c r="I893" t="s">
        <v>1536</v>
      </c>
      <c r="J893" t="str">
        <f t="shared" si="102"/>
        <v>081204</v>
      </c>
      <c r="K893" t="s">
        <v>22</v>
      </c>
      <c r="L893" t="s">
        <v>23</v>
      </c>
      <c r="M893" t="str">
        <f t="shared" si="100"/>
        <v>1</v>
      </c>
      <c r="O893" t="str">
        <f>CONCATENATE("1 ","")</f>
        <v xml:space="preserve">1 </v>
      </c>
      <c r="P893">
        <v>15.4</v>
      </c>
      <c r="Q893" t="s">
        <v>24</v>
      </c>
    </row>
    <row r="894" spans="1:17" x14ac:dyDescent="0.25">
      <c r="A894" t="s">
        <v>17</v>
      </c>
      <c r="B894" s="1">
        <v>41718</v>
      </c>
      <c r="C894" t="s">
        <v>794</v>
      </c>
      <c r="D894" t="str">
        <f>CONCATENATE("0060017305","")</f>
        <v>0060017305</v>
      </c>
      <c r="E894" t="str">
        <f>CONCATENATE("0120618000215       ","")</f>
        <v xml:space="preserve">0120618000215       </v>
      </c>
      <c r="F894" t="str">
        <f>CONCATENATE("0606143602","")</f>
        <v>0606143602</v>
      </c>
      <c r="G894" t="s">
        <v>1534</v>
      </c>
      <c r="H894" t="s">
        <v>1541</v>
      </c>
      <c r="I894" t="s">
        <v>1536</v>
      </c>
      <c r="J894" t="str">
        <f t="shared" si="102"/>
        <v>081204</v>
      </c>
      <c r="K894" t="s">
        <v>22</v>
      </c>
      <c r="L894" t="s">
        <v>23</v>
      </c>
      <c r="M894" t="str">
        <f t="shared" si="100"/>
        <v>1</v>
      </c>
      <c r="O894" t="str">
        <f>CONCATENATE("1 ","")</f>
        <v xml:space="preserve">1 </v>
      </c>
      <c r="P894">
        <v>13.85</v>
      </c>
      <c r="Q894" t="s">
        <v>24</v>
      </c>
    </row>
    <row r="895" spans="1:17" x14ac:dyDescent="0.25">
      <c r="A895" t="s">
        <v>17</v>
      </c>
      <c r="B895" s="1">
        <v>41718</v>
      </c>
      <c r="C895" t="s">
        <v>794</v>
      </c>
      <c r="D895" t="str">
        <f>CONCATENATE("0060017307","")</f>
        <v>0060017307</v>
      </c>
      <c r="E895" t="str">
        <f>CONCATENATE("0120618000225       ","")</f>
        <v xml:space="preserve">0120618000225       </v>
      </c>
      <c r="F895" t="str">
        <f>CONCATENATE("0606144427","")</f>
        <v>0606144427</v>
      </c>
      <c r="G895" t="s">
        <v>1534</v>
      </c>
      <c r="H895" t="s">
        <v>1542</v>
      </c>
      <c r="I895" t="s">
        <v>1536</v>
      </c>
      <c r="J895" t="str">
        <f t="shared" si="102"/>
        <v>081204</v>
      </c>
      <c r="K895" t="s">
        <v>22</v>
      </c>
      <c r="L895" t="s">
        <v>23</v>
      </c>
      <c r="M895" t="str">
        <f t="shared" si="100"/>
        <v>1</v>
      </c>
      <c r="O895" t="str">
        <f>CONCATENATE("2 ","")</f>
        <v xml:space="preserve">2 </v>
      </c>
      <c r="P895">
        <v>19.3</v>
      </c>
      <c r="Q895" t="s">
        <v>24</v>
      </c>
    </row>
    <row r="896" spans="1:17" x14ac:dyDescent="0.25">
      <c r="A896" t="s">
        <v>17</v>
      </c>
      <c r="B896" s="1">
        <v>41718</v>
      </c>
      <c r="C896" t="s">
        <v>794</v>
      </c>
      <c r="D896" t="str">
        <f>CONCATENATE("0060017315","")</f>
        <v>0060017315</v>
      </c>
      <c r="E896" t="str">
        <f>CONCATENATE("0120618000265       ","")</f>
        <v xml:space="preserve">0120618000265       </v>
      </c>
      <c r="F896" t="str">
        <f>CONCATENATE("0606144446","")</f>
        <v>0606144446</v>
      </c>
      <c r="G896" t="s">
        <v>1534</v>
      </c>
      <c r="H896" t="s">
        <v>1543</v>
      </c>
      <c r="I896" t="s">
        <v>1536</v>
      </c>
      <c r="J896" t="str">
        <f t="shared" si="102"/>
        <v>081204</v>
      </c>
      <c r="K896" t="s">
        <v>22</v>
      </c>
      <c r="L896" t="s">
        <v>23</v>
      </c>
      <c r="M896" t="str">
        <f t="shared" si="100"/>
        <v>1</v>
      </c>
      <c r="O896" t="str">
        <f t="shared" ref="O896:O902" si="103">CONCATENATE("1 ","")</f>
        <v xml:space="preserve">1 </v>
      </c>
      <c r="P896">
        <v>13.15</v>
      </c>
      <c r="Q896" t="s">
        <v>24</v>
      </c>
    </row>
    <row r="897" spans="1:17" x14ac:dyDescent="0.25">
      <c r="A897" t="s">
        <v>17</v>
      </c>
      <c r="B897" s="1">
        <v>41718</v>
      </c>
      <c r="C897" t="s">
        <v>794</v>
      </c>
      <c r="D897" t="str">
        <f>CONCATENATE("0060017319","")</f>
        <v>0060017319</v>
      </c>
      <c r="E897" t="str">
        <f>CONCATENATE("0120618000285       ","")</f>
        <v xml:space="preserve">0120618000285       </v>
      </c>
      <c r="F897" t="str">
        <f>CONCATENATE("0606144422","")</f>
        <v>0606144422</v>
      </c>
      <c r="G897" t="s">
        <v>1534</v>
      </c>
      <c r="H897" t="s">
        <v>1544</v>
      </c>
      <c r="I897" t="s">
        <v>1536</v>
      </c>
      <c r="J897" t="str">
        <f t="shared" si="102"/>
        <v>081204</v>
      </c>
      <c r="K897" t="s">
        <v>22</v>
      </c>
      <c r="L897" t="s">
        <v>23</v>
      </c>
      <c r="M897" t="str">
        <f t="shared" si="100"/>
        <v>1</v>
      </c>
      <c r="O897" t="str">
        <f t="shared" si="103"/>
        <v xml:space="preserve">1 </v>
      </c>
      <c r="P897">
        <v>12.85</v>
      </c>
      <c r="Q897" t="s">
        <v>24</v>
      </c>
    </row>
    <row r="898" spans="1:17" x14ac:dyDescent="0.25">
      <c r="A898" t="s">
        <v>17</v>
      </c>
      <c r="B898" s="1">
        <v>41718</v>
      </c>
      <c r="C898" t="s">
        <v>794</v>
      </c>
      <c r="D898" t="str">
        <f>CONCATENATE("0060017320","")</f>
        <v>0060017320</v>
      </c>
      <c r="E898" t="str">
        <f>CONCATENATE("0120618000290       ","")</f>
        <v xml:space="preserve">0120618000290       </v>
      </c>
      <c r="F898" t="str">
        <f>CONCATENATE("0606144437","")</f>
        <v>0606144437</v>
      </c>
      <c r="G898" t="s">
        <v>1534</v>
      </c>
      <c r="H898" t="s">
        <v>1545</v>
      </c>
      <c r="I898" t="s">
        <v>1536</v>
      </c>
      <c r="J898" t="str">
        <f t="shared" si="102"/>
        <v>081204</v>
      </c>
      <c r="K898" t="s">
        <v>22</v>
      </c>
      <c r="L898" t="s">
        <v>23</v>
      </c>
      <c r="M898" t="str">
        <f t="shared" si="100"/>
        <v>1</v>
      </c>
      <c r="O898" t="str">
        <f t="shared" si="103"/>
        <v xml:space="preserve">1 </v>
      </c>
      <c r="P898">
        <v>12.8</v>
      </c>
      <c r="Q898" t="s">
        <v>24</v>
      </c>
    </row>
    <row r="899" spans="1:17" x14ac:dyDescent="0.25">
      <c r="A899" t="s">
        <v>17</v>
      </c>
      <c r="B899" s="1">
        <v>41718</v>
      </c>
      <c r="C899" t="s">
        <v>794</v>
      </c>
      <c r="D899" t="str">
        <f>CONCATENATE("0060017321","")</f>
        <v>0060017321</v>
      </c>
      <c r="E899" t="str">
        <f>CONCATENATE("0120618000295       ","")</f>
        <v xml:space="preserve">0120618000295       </v>
      </c>
      <c r="F899" t="str">
        <f>CONCATENATE("0606143597","")</f>
        <v>0606143597</v>
      </c>
      <c r="G899" t="s">
        <v>1534</v>
      </c>
      <c r="H899" t="s">
        <v>1546</v>
      </c>
      <c r="I899" t="s">
        <v>1536</v>
      </c>
      <c r="J899" t="str">
        <f t="shared" si="102"/>
        <v>081204</v>
      </c>
      <c r="K899" t="s">
        <v>22</v>
      </c>
      <c r="L899" t="s">
        <v>23</v>
      </c>
      <c r="M899" t="str">
        <f t="shared" si="100"/>
        <v>1</v>
      </c>
      <c r="O899" t="str">
        <f t="shared" si="103"/>
        <v xml:space="preserve">1 </v>
      </c>
      <c r="P899">
        <v>12.8</v>
      </c>
      <c r="Q899" t="s">
        <v>24</v>
      </c>
    </row>
    <row r="900" spans="1:17" x14ac:dyDescent="0.25">
      <c r="A900" t="s">
        <v>17</v>
      </c>
      <c r="B900" s="1">
        <v>41718</v>
      </c>
      <c r="C900" t="s">
        <v>794</v>
      </c>
      <c r="D900" t="str">
        <f>CONCATENATE("0060017326","")</f>
        <v>0060017326</v>
      </c>
      <c r="E900" t="str">
        <f>CONCATENATE("0120618000320       ","")</f>
        <v xml:space="preserve">0120618000320       </v>
      </c>
      <c r="F900" t="str">
        <f>CONCATENATE("0606143596","")</f>
        <v>0606143596</v>
      </c>
      <c r="G900" t="s">
        <v>1534</v>
      </c>
      <c r="H900" t="s">
        <v>1547</v>
      </c>
      <c r="I900" t="s">
        <v>1536</v>
      </c>
      <c r="J900" t="str">
        <f t="shared" si="102"/>
        <v>081204</v>
      </c>
      <c r="K900" t="s">
        <v>22</v>
      </c>
      <c r="L900" t="s">
        <v>23</v>
      </c>
      <c r="M900" t="str">
        <f t="shared" si="100"/>
        <v>1</v>
      </c>
      <c r="O900" t="str">
        <f t="shared" si="103"/>
        <v xml:space="preserve">1 </v>
      </c>
      <c r="P900">
        <v>16.05</v>
      </c>
      <c r="Q900" t="s">
        <v>24</v>
      </c>
    </row>
    <row r="901" spans="1:17" x14ac:dyDescent="0.25">
      <c r="A901" t="s">
        <v>17</v>
      </c>
      <c r="B901" s="1">
        <v>41718</v>
      </c>
      <c r="C901" t="s">
        <v>794</v>
      </c>
      <c r="D901" t="str">
        <f>CONCATENATE("0060018994","")</f>
        <v>0060018994</v>
      </c>
      <c r="E901" t="str">
        <f>CONCATENATE("0120618000360       ","")</f>
        <v xml:space="preserve">0120618000360       </v>
      </c>
      <c r="F901" t="str">
        <f>CONCATENATE("0606144442","")</f>
        <v>0606144442</v>
      </c>
      <c r="G901" t="s">
        <v>1534</v>
      </c>
      <c r="H901" t="s">
        <v>1548</v>
      </c>
      <c r="I901" t="s">
        <v>1549</v>
      </c>
      <c r="J901" t="str">
        <f t="shared" si="102"/>
        <v>081204</v>
      </c>
      <c r="K901" t="s">
        <v>22</v>
      </c>
      <c r="L901" t="s">
        <v>23</v>
      </c>
      <c r="M901" t="str">
        <f t="shared" si="100"/>
        <v>1</v>
      </c>
      <c r="O901" t="str">
        <f t="shared" si="103"/>
        <v xml:space="preserve">1 </v>
      </c>
      <c r="P901">
        <v>12.85</v>
      </c>
      <c r="Q901" t="s">
        <v>24</v>
      </c>
    </row>
    <row r="902" spans="1:17" x14ac:dyDescent="0.25">
      <c r="A902" t="s">
        <v>17</v>
      </c>
      <c r="B902" s="1">
        <v>41718</v>
      </c>
      <c r="C902" t="s">
        <v>794</v>
      </c>
      <c r="D902" t="str">
        <f>CONCATENATE("0060018995","")</f>
        <v>0060018995</v>
      </c>
      <c r="E902" t="str">
        <f>CONCATENATE("0120618000370       ","")</f>
        <v xml:space="preserve">0120618000370       </v>
      </c>
      <c r="F902" t="str">
        <f>CONCATENATE("0606143609","")</f>
        <v>0606143609</v>
      </c>
      <c r="G902" t="s">
        <v>1534</v>
      </c>
      <c r="H902" t="s">
        <v>1550</v>
      </c>
      <c r="I902" t="s">
        <v>1549</v>
      </c>
      <c r="J902" t="str">
        <f t="shared" si="102"/>
        <v>081204</v>
      </c>
      <c r="K902" t="s">
        <v>22</v>
      </c>
      <c r="L902" t="s">
        <v>23</v>
      </c>
      <c r="M902" t="str">
        <f t="shared" si="100"/>
        <v>1</v>
      </c>
      <c r="O902" t="str">
        <f t="shared" si="103"/>
        <v xml:space="preserve">1 </v>
      </c>
      <c r="P902">
        <v>16.75</v>
      </c>
      <c r="Q902" t="s">
        <v>24</v>
      </c>
    </row>
    <row r="903" spans="1:17" x14ac:dyDescent="0.25">
      <c r="A903" t="s">
        <v>17</v>
      </c>
      <c r="B903" s="1">
        <v>41718</v>
      </c>
      <c r="C903" t="s">
        <v>794</v>
      </c>
      <c r="D903" t="str">
        <f>CONCATENATE("0060018996","")</f>
        <v>0060018996</v>
      </c>
      <c r="E903" t="str">
        <f>CONCATENATE("0120618000380       ","")</f>
        <v xml:space="preserve">0120618000380       </v>
      </c>
      <c r="F903" t="str">
        <f>CONCATENATE("1606144434","")</f>
        <v>1606144434</v>
      </c>
      <c r="G903" t="s">
        <v>1534</v>
      </c>
      <c r="H903" t="s">
        <v>1551</v>
      </c>
      <c r="I903" t="s">
        <v>1549</v>
      </c>
      <c r="J903" t="str">
        <f t="shared" si="102"/>
        <v>081204</v>
      </c>
      <c r="K903" t="s">
        <v>22</v>
      </c>
      <c r="L903" t="s">
        <v>23</v>
      </c>
      <c r="M903" t="str">
        <f t="shared" si="100"/>
        <v>1</v>
      </c>
      <c r="O903" t="str">
        <f>CONCATENATE("2 ","")</f>
        <v xml:space="preserve">2 </v>
      </c>
      <c r="P903">
        <v>20.5</v>
      </c>
      <c r="Q903" t="s">
        <v>24</v>
      </c>
    </row>
    <row r="904" spans="1:17" x14ac:dyDescent="0.25">
      <c r="A904" t="s">
        <v>17</v>
      </c>
      <c r="B904" s="1">
        <v>41718</v>
      </c>
      <c r="C904" t="s">
        <v>794</v>
      </c>
      <c r="D904" t="str">
        <f>CONCATENATE("0060017401","")</f>
        <v>0060017401</v>
      </c>
      <c r="E904" t="str">
        <f>CONCATENATE("0120624000010       ","")</f>
        <v xml:space="preserve">0120624000010       </v>
      </c>
      <c r="F904" t="str">
        <f>CONCATENATE("1606144244","")</f>
        <v>1606144244</v>
      </c>
      <c r="G904" t="s">
        <v>1552</v>
      </c>
      <c r="H904" t="s">
        <v>1553</v>
      </c>
      <c r="I904" t="s">
        <v>1554</v>
      </c>
      <c r="J904" t="str">
        <f t="shared" si="102"/>
        <v>081204</v>
      </c>
      <c r="K904" t="s">
        <v>22</v>
      </c>
      <c r="L904" t="s">
        <v>23</v>
      </c>
      <c r="M904" t="str">
        <f t="shared" si="100"/>
        <v>1</v>
      </c>
      <c r="O904" t="str">
        <f t="shared" ref="O904:O909" si="104">CONCATENATE("1 ","")</f>
        <v xml:space="preserve">1 </v>
      </c>
      <c r="P904">
        <v>13.85</v>
      </c>
      <c r="Q904" t="s">
        <v>24</v>
      </c>
    </row>
    <row r="905" spans="1:17" x14ac:dyDescent="0.25">
      <c r="A905" t="s">
        <v>17</v>
      </c>
      <c r="B905" s="1">
        <v>41718</v>
      </c>
      <c r="C905" t="s">
        <v>794</v>
      </c>
      <c r="D905" t="str">
        <f>CONCATENATE("0060017402","")</f>
        <v>0060017402</v>
      </c>
      <c r="E905" t="str">
        <f>CONCATENATE("0120624000015       ","")</f>
        <v xml:space="preserve">0120624000015       </v>
      </c>
      <c r="F905" t="str">
        <f>CONCATENATE("0606144252","")</f>
        <v>0606144252</v>
      </c>
      <c r="G905" t="s">
        <v>1552</v>
      </c>
      <c r="H905" t="s">
        <v>1555</v>
      </c>
      <c r="I905" t="s">
        <v>1554</v>
      </c>
      <c r="J905" t="str">
        <f t="shared" si="102"/>
        <v>081204</v>
      </c>
      <c r="K905" t="s">
        <v>22</v>
      </c>
      <c r="L905" t="s">
        <v>23</v>
      </c>
      <c r="M905" t="str">
        <f t="shared" si="100"/>
        <v>1</v>
      </c>
      <c r="O905" t="str">
        <f t="shared" si="104"/>
        <v xml:space="preserve">1 </v>
      </c>
      <c r="P905">
        <v>12.8</v>
      </c>
      <c r="Q905" t="s">
        <v>24</v>
      </c>
    </row>
    <row r="906" spans="1:17" x14ac:dyDescent="0.25">
      <c r="A906" t="s">
        <v>17</v>
      </c>
      <c r="B906" s="1">
        <v>41718</v>
      </c>
      <c r="C906" t="s">
        <v>794</v>
      </c>
      <c r="D906" t="str">
        <f>CONCATENATE("0060017405","")</f>
        <v>0060017405</v>
      </c>
      <c r="E906" t="str">
        <f>CONCATENATE("0120624000030       ","")</f>
        <v xml:space="preserve">0120624000030       </v>
      </c>
      <c r="F906" t="str">
        <f>CONCATENATE("0606144267","")</f>
        <v>0606144267</v>
      </c>
      <c r="G906" t="s">
        <v>1552</v>
      </c>
      <c r="H906" t="s">
        <v>1556</v>
      </c>
      <c r="I906" t="s">
        <v>1554</v>
      </c>
      <c r="J906" t="str">
        <f t="shared" si="102"/>
        <v>081204</v>
      </c>
      <c r="K906" t="s">
        <v>22</v>
      </c>
      <c r="L906" t="s">
        <v>23</v>
      </c>
      <c r="M906" t="str">
        <f t="shared" si="100"/>
        <v>1</v>
      </c>
      <c r="O906" t="str">
        <f t="shared" si="104"/>
        <v xml:space="preserve">1 </v>
      </c>
      <c r="P906">
        <v>12.85</v>
      </c>
      <c r="Q906" t="s">
        <v>24</v>
      </c>
    </row>
    <row r="907" spans="1:17" x14ac:dyDescent="0.25">
      <c r="A907" t="s">
        <v>17</v>
      </c>
      <c r="B907" s="1">
        <v>41718</v>
      </c>
      <c r="C907" t="s">
        <v>794</v>
      </c>
      <c r="D907" t="str">
        <f>CONCATENATE("0060017418","")</f>
        <v>0060017418</v>
      </c>
      <c r="E907" t="str">
        <f>CONCATENATE("0120624000095       ","")</f>
        <v xml:space="preserve">0120624000095       </v>
      </c>
      <c r="F907" t="str">
        <f>CONCATENATE("0606143876","")</f>
        <v>0606143876</v>
      </c>
      <c r="G907" t="s">
        <v>1552</v>
      </c>
      <c r="H907" t="s">
        <v>1557</v>
      </c>
      <c r="I907" t="s">
        <v>1554</v>
      </c>
      <c r="J907" t="str">
        <f t="shared" si="102"/>
        <v>081204</v>
      </c>
      <c r="K907" t="s">
        <v>22</v>
      </c>
      <c r="L907" t="s">
        <v>23</v>
      </c>
      <c r="M907" t="str">
        <f t="shared" si="100"/>
        <v>1</v>
      </c>
      <c r="O907" t="str">
        <f t="shared" si="104"/>
        <v xml:space="preserve">1 </v>
      </c>
      <c r="P907">
        <v>12.8</v>
      </c>
      <c r="Q907" t="s">
        <v>24</v>
      </c>
    </row>
    <row r="908" spans="1:17" x14ac:dyDescent="0.25">
      <c r="A908" t="s">
        <v>17</v>
      </c>
      <c r="B908" s="1">
        <v>41718</v>
      </c>
      <c r="C908" t="s">
        <v>794</v>
      </c>
      <c r="D908" t="str">
        <f>CONCATENATE("0060017426","")</f>
        <v>0060017426</v>
      </c>
      <c r="E908" t="str">
        <f>CONCATENATE("0120624000135       ","")</f>
        <v xml:space="preserve">0120624000135       </v>
      </c>
      <c r="F908" t="str">
        <f>CONCATENATE("0606144257","")</f>
        <v>0606144257</v>
      </c>
      <c r="G908" t="s">
        <v>1552</v>
      </c>
      <c r="H908" t="s">
        <v>1558</v>
      </c>
      <c r="I908" t="s">
        <v>1554</v>
      </c>
      <c r="J908" t="str">
        <f t="shared" si="102"/>
        <v>081204</v>
      </c>
      <c r="K908" t="s">
        <v>22</v>
      </c>
      <c r="L908" t="s">
        <v>23</v>
      </c>
      <c r="M908" t="str">
        <f t="shared" si="100"/>
        <v>1</v>
      </c>
      <c r="O908" t="str">
        <f t="shared" si="104"/>
        <v xml:space="preserve">1 </v>
      </c>
      <c r="P908">
        <v>13.45</v>
      </c>
      <c r="Q908" t="s">
        <v>24</v>
      </c>
    </row>
    <row r="909" spans="1:17" x14ac:dyDescent="0.25">
      <c r="A909" t="s">
        <v>17</v>
      </c>
      <c r="B909" s="1">
        <v>41718</v>
      </c>
      <c r="C909" t="s">
        <v>794</v>
      </c>
      <c r="D909" t="str">
        <f>CONCATENATE("0060017427","")</f>
        <v>0060017427</v>
      </c>
      <c r="E909" t="str">
        <f>CONCATENATE("0120624000140       ","")</f>
        <v xml:space="preserve">0120624000140       </v>
      </c>
      <c r="F909" t="str">
        <f>CONCATENATE("0606144266","")</f>
        <v>0606144266</v>
      </c>
      <c r="G909" t="s">
        <v>1552</v>
      </c>
      <c r="H909" t="s">
        <v>1559</v>
      </c>
      <c r="I909" t="s">
        <v>1554</v>
      </c>
      <c r="J909" t="str">
        <f t="shared" si="102"/>
        <v>081204</v>
      </c>
      <c r="K909" t="s">
        <v>22</v>
      </c>
      <c r="L909" t="s">
        <v>23</v>
      </c>
      <c r="M909" t="str">
        <f t="shared" si="100"/>
        <v>1</v>
      </c>
      <c r="O909" t="str">
        <f t="shared" si="104"/>
        <v xml:space="preserve">1 </v>
      </c>
      <c r="P909">
        <v>14.8</v>
      </c>
      <c r="Q909" t="s">
        <v>24</v>
      </c>
    </row>
    <row r="910" spans="1:17" x14ac:dyDescent="0.25">
      <c r="A910" t="s">
        <v>17</v>
      </c>
      <c r="B910" s="1">
        <v>41718</v>
      </c>
      <c r="C910" t="s">
        <v>794</v>
      </c>
      <c r="D910" t="str">
        <f>CONCATENATE("0060017428","")</f>
        <v>0060017428</v>
      </c>
      <c r="E910" t="str">
        <f>CONCATENATE("0120624000145       ","")</f>
        <v xml:space="preserve">0120624000145       </v>
      </c>
      <c r="F910" t="str">
        <f>CONCATENATE("0606144258","")</f>
        <v>0606144258</v>
      </c>
      <c r="G910" t="s">
        <v>1552</v>
      </c>
      <c r="H910" t="s">
        <v>1560</v>
      </c>
      <c r="I910" t="s">
        <v>1554</v>
      </c>
      <c r="J910" t="str">
        <f t="shared" si="102"/>
        <v>081204</v>
      </c>
      <c r="K910" t="s">
        <v>22</v>
      </c>
      <c r="L910" t="s">
        <v>23</v>
      </c>
      <c r="M910" t="str">
        <f t="shared" si="100"/>
        <v>1</v>
      </c>
      <c r="O910" t="str">
        <f>CONCATENATE("3 ","")</f>
        <v xml:space="preserve">3 </v>
      </c>
      <c r="P910">
        <v>25.65</v>
      </c>
      <c r="Q910" t="s">
        <v>24</v>
      </c>
    </row>
    <row r="911" spans="1:17" x14ac:dyDescent="0.25">
      <c r="A911" t="s">
        <v>17</v>
      </c>
      <c r="B911" s="1">
        <v>41718</v>
      </c>
      <c r="C911" t="s">
        <v>794</v>
      </c>
      <c r="D911" t="str">
        <f>CONCATENATE("0060017429","")</f>
        <v>0060017429</v>
      </c>
      <c r="E911" t="str">
        <f>CONCATENATE("0120624000150       ","")</f>
        <v xml:space="preserve">0120624000150       </v>
      </c>
      <c r="F911" t="str">
        <f>CONCATENATE("0606144265","")</f>
        <v>0606144265</v>
      </c>
      <c r="G911" t="s">
        <v>1552</v>
      </c>
      <c r="H911" t="s">
        <v>1561</v>
      </c>
      <c r="I911" t="s">
        <v>1554</v>
      </c>
      <c r="J911" t="str">
        <f t="shared" si="102"/>
        <v>081204</v>
      </c>
      <c r="K911" t="s">
        <v>22</v>
      </c>
      <c r="L911" t="s">
        <v>23</v>
      </c>
      <c r="M911" t="str">
        <f t="shared" si="100"/>
        <v>1</v>
      </c>
      <c r="O911" t="str">
        <f>CONCATENATE("1 ","")</f>
        <v xml:space="preserve">1 </v>
      </c>
      <c r="P911">
        <v>22.25</v>
      </c>
      <c r="Q911" t="s">
        <v>24</v>
      </c>
    </row>
    <row r="912" spans="1:17" x14ac:dyDescent="0.25">
      <c r="A912" t="s">
        <v>17</v>
      </c>
      <c r="B912" s="1">
        <v>41718</v>
      </c>
      <c r="C912" t="s">
        <v>794</v>
      </c>
      <c r="D912" t="str">
        <f>CONCATENATE("0060017430","")</f>
        <v>0060017430</v>
      </c>
      <c r="E912" t="str">
        <f>CONCATENATE("0120624000155       ","")</f>
        <v xml:space="preserve">0120624000155       </v>
      </c>
      <c r="F912" t="str">
        <f>CONCATENATE("0606144247","")</f>
        <v>0606144247</v>
      </c>
      <c r="G912" t="s">
        <v>1552</v>
      </c>
      <c r="H912" t="s">
        <v>1562</v>
      </c>
      <c r="I912" t="s">
        <v>1554</v>
      </c>
      <c r="J912" t="str">
        <f t="shared" si="102"/>
        <v>081204</v>
      </c>
      <c r="K912" t="s">
        <v>22</v>
      </c>
      <c r="L912" t="s">
        <v>23</v>
      </c>
      <c r="M912" t="str">
        <f t="shared" si="100"/>
        <v>1</v>
      </c>
      <c r="O912" t="str">
        <f>CONCATENATE("2 ","")</f>
        <v xml:space="preserve">2 </v>
      </c>
      <c r="P912">
        <v>19.3</v>
      </c>
      <c r="Q912" t="s">
        <v>24</v>
      </c>
    </row>
    <row r="913" spans="1:17" x14ac:dyDescent="0.25">
      <c r="A913" t="s">
        <v>17</v>
      </c>
      <c r="B913" s="1">
        <v>41718</v>
      </c>
      <c r="C913" t="s">
        <v>794</v>
      </c>
      <c r="D913" t="str">
        <f>CONCATENATE("0060017431","")</f>
        <v>0060017431</v>
      </c>
      <c r="E913" t="str">
        <f>CONCATENATE("0120624000160       ","")</f>
        <v xml:space="preserve">0120624000160       </v>
      </c>
      <c r="F913" t="str">
        <f>CONCATENATE("0606144249","")</f>
        <v>0606144249</v>
      </c>
      <c r="G913" t="s">
        <v>1552</v>
      </c>
      <c r="H913" t="s">
        <v>1563</v>
      </c>
      <c r="I913" t="s">
        <v>1554</v>
      </c>
      <c r="J913" t="str">
        <f t="shared" si="102"/>
        <v>081204</v>
      </c>
      <c r="K913" t="s">
        <v>22</v>
      </c>
      <c r="L913" t="s">
        <v>23</v>
      </c>
      <c r="M913" t="str">
        <f t="shared" si="100"/>
        <v>1</v>
      </c>
      <c r="O913" t="str">
        <f>CONCATENATE("3 ","")</f>
        <v xml:space="preserve">3 </v>
      </c>
      <c r="P913">
        <v>27.3</v>
      </c>
      <c r="Q913" t="s">
        <v>24</v>
      </c>
    </row>
    <row r="914" spans="1:17" x14ac:dyDescent="0.25">
      <c r="A914" t="s">
        <v>17</v>
      </c>
      <c r="B914" s="1">
        <v>41718</v>
      </c>
      <c r="C914" t="s">
        <v>794</v>
      </c>
      <c r="D914" t="str">
        <f>CONCATENATE("0060017433","")</f>
        <v>0060017433</v>
      </c>
      <c r="E914" t="str">
        <f>CONCATENATE("0120624000170       ","")</f>
        <v xml:space="preserve">0120624000170       </v>
      </c>
      <c r="F914" t="str">
        <f>CONCATENATE("0606143830","")</f>
        <v>0606143830</v>
      </c>
      <c r="G914" t="s">
        <v>1552</v>
      </c>
      <c r="H914" t="s">
        <v>1564</v>
      </c>
      <c r="I914" t="s">
        <v>1554</v>
      </c>
      <c r="J914" t="str">
        <f t="shared" si="102"/>
        <v>081204</v>
      </c>
      <c r="K914" t="s">
        <v>22</v>
      </c>
      <c r="L914" t="s">
        <v>23</v>
      </c>
      <c r="M914" t="str">
        <f t="shared" si="100"/>
        <v>1</v>
      </c>
      <c r="O914" t="str">
        <f>CONCATENATE("1 ","")</f>
        <v xml:space="preserve">1 </v>
      </c>
      <c r="P914">
        <v>12.85</v>
      </c>
      <c r="Q914" t="s">
        <v>24</v>
      </c>
    </row>
    <row r="915" spans="1:17" x14ac:dyDescent="0.25">
      <c r="A915" t="s">
        <v>17</v>
      </c>
      <c r="B915" s="1">
        <v>41718</v>
      </c>
      <c r="C915" t="s">
        <v>67</v>
      </c>
      <c r="D915" t="str">
        <f>CONCATENATE("0060005357","")</f>
        <v>0060005357</v>
      </c>
      <c r="E915" t="str">
        <f>CONCATENATE("0120701000240       ","")</f>
        <v xml:space="preserve">0120701000240       </v>
      </c>
      <c r="F915" t="str">
        <f>CONCATENATE("2128890","")</f>
        <v>2128890</v>
      </c>
      <c r="G915" t="s">
        <v>1565</v>
      </c>
      <c r="H915" t="s">
        <v>1566</v>
      </c>
      <c r="I915" t="s">
        <v>160</v>
      </c>
      <c r="J915" t="str">
        <f t="shared" ref="J915:J927" si="105">CONCATENATE("081207","")</f>
        <v>081207</v>
      </c>
      <c r="K915" t="s">
        <v>22</v>
      </c>
      <c r="L915" t="s">
        <v>23</v>
      </c>
      <c r="M915" t="str">
        <f t="shared" si="100"/>
        <v>1</v>
      </c>
      <c r="O915" t="str">
        <f>CONCATENATE("1 ","")</f>
        <v xml:space="preserve">1 </v>
      </c>
      <c r="P915">
        <v>28.85</v>
      </c>
      <c r="Q915" t="s">
        <v>24</v>
      </c>
    </row>
    <row r="916" spans="1:17" x14ac:dyDescent="0.25">
      <c r="A916" t="s">
        <v>17</v>
      </c>
      <c r="B916" s="1">
        <v>41718</v>
      </c>
      <c r="C916" t="s">
        <v>67</v>
      </c>
      <c r="D916" t="str">
        <f>CONCATENATE("0060005435","")</f>
        <v>0060005435</v>
      </c>
      <c r="E916" t="str">
        <f>CONCATENATE("0120701000860       ","")</f>
        <v xml:space="preserve">0120701000860       </v>
      </c>
      <c r="F916" t="str">
        <f>CONCATENATE("2127070","")</f>
        <v>2127070</v>
      </c>
      <c r="G916" t="s">
        <v>1565</v>
      </c>
      <c r="H916" t="s">
        <v>1567</v>
      </c>
      <c r="I916" t="s">
        <v>1568</v>
      </c>
      <c r="J916" t="str">
        <f t="shared" si="105"/>
        <v>081207</v>
      </c>
      <c r="K916" t="s">
        <v>22</v>
      </c>
      <c r="L916" t="s">
        <v>23</v>
      </c>
      <c r="M916" t="str">
        <f t="shared" si="100"/>
        <v>1</v>
      </c>
      <c r="O916" t="str">
        <f>CONCATENATE("1 ","")</f>
        <v xml:space="preserve">1 </v>
      </c>
      <c r="P916">
        <v>44.95</v>
      </c>
      <c r="Q916" t="s">
        <v>24</v>
      </c>
    </row>
    <row r="917" spans="1:17" x14ac:dyDescent="0.25">
      <c r="A917" t="s">
        <v>17</v>
      </c>
      <c r="B917" s="1">
        <v>41718</v>
      </c>
      <c r="C917" t="s">
        <v>67</v>
      </c>
      <c r="D917" t="str">
        <f>CONCATENATE("0060013777","")</f>
        <v>0060013777</v>
      </c>
      <c r="E917" t="str">
        <f>CONCATENATE("0120701000865       ","")</f>
        <v xml:space="preserve">0120701000865       </v>
      </c>
      <c r="F917" t="str">
        <f>CONCATENATE("605620704","")</f>
        <v>605620704</v>
      </c>
      <c r="G917" t="s">
        <v>1565</v>
      </c>
      <c r="H917" t="s">
        <v>1569</v>
      </c>
      <c r="I917" t="s">
        <v>1570</v>
      </c>
      <c r="J917" t="str">
        <f t="shared" si="105"/>
        <v>081207</v>
      </c>
      <c r="K917" t="s">
        <v>22</v>
      </c>
      <c r="L917" t="s">
        <v>23</v>
      </c>
      <c r="M917" t="str">
        <f t="shared" si="100"/>
        <v>1</v>
      </c>
      <c r="O917" t="str">
        <f>CONCATENATE("1 ","")</f>
        <v xml:space="preserve">1 </v>
      </c>
      <c r="P917">
        <v>180.25</v>
      </c>
      <c r="Q917" t="s">
        <v>24</v>
      </c>
    </row>
    <row r="918" spans="1:17" x14ac:dyDescent="0.25">
      <c r="A918" t="s">
        <v>17</v>
      </c>
      <c r="B918" s="1">
        <v>41718</v>
      </c>
      <c r="C918" t="s">
        <v>67</v>
      </c>
      <c r="D918" t="str">
        <f>CONCATENATE("0060005437","")</f>
        <v>0060005437</v>
      </c>
      <c r="E918" t="str">
        <f>CONCATENATE("0120701000880       ","")</f>
        <v xml:space="preserve">0120701000880       </v>
      </c>
      <c r="F918" t="str">
        <f>CONCATENATE("2122819","")</f>
        <v>2122819</v>
      </c>
      <c r="G918" t="s">
        <v>1571</v>
      </c>
      <c r="H918" t="s">
        <v>1572</v>
      </c>
      <c r="I918" t="s">
        <v>1573</v>
      </c>
      <c r="J918" t="str">
        <f t="shared" si="105"/>
        <v>081207</v>
      </c>
      <c r="K918" t="s">
        <v>22</v>
      </c>
      <c r="L918" t="s">
        <v>23</v>
      </c>
      <c r="M918" t="str">
        <f t="shared" si="100"/>
        <v>1</v>
      </c>
      <c r="O918" t="str">
        <f>CONCATENATE("1 ","")</f>
        <v xml:space="preserve">1 </v>
      </c>
      <c r="P918">
        <v>106.45</v>
      </c>
      <c r="Q918" t="s">
        <v>24</v>
      </c>
    </row>
    <row r="919" spans="1:17" x14ac:dyDescent="0.25">
      <c r="A919" t="s">
        <v>17</v>
      </c>
      <c r="B919" s="1">
        <v>41718</v>
      </c>
      <c r="C919" t="s">
        <v>67</v>
      </c>
      <c r="D919" t="str">
        <f>CONCATENATE("0060005529","")</f>
        <v>0060005529</v>
      </c>
      <c r="E919" t="str">
        <f>CONCATENATE("0120701001670       ","")</f>
        <v xml:space="preserve">0120701001670       </v>
      </c>
      <c r="F919" t="str">
        <f>CONCATENATE("2122892","")</f>
        <v>2122892</v>
      </c>
      <c r="G919" t="s">
        <v>1565</v>
      </c>
      <c r="H919" t="s">
        <v>1574</v>
      </c>
      <c r="I919" t="s">
        <v>1575</v>
      </c>
      <c r="J919" t="str">
        <f t="shared" si="105"/>
        <v>081207</v>
      </c>
      <c r="K919" t="s">
        <v>22</v>
      </c>
      <c r="L919" t="s">
        <v>23</v>
      </c>
      <c r="M919" t="str">
        <f t="shared" si="100"/>
        <v>1</v>
      </c>
      <c r="O919" t="str">
        <f>CONCATENATE("2 ","")</f>
        <v xml:space="preserve">2 </v>
      </c>
      <c r="P919">
        <v>17.399999999999999</v>
      </c>
      <c r="Q919" t="s">
        <v>24</v>
      </c>
    </row>
    <row r="920" spans="1:17" x14ac:dyDescent="0.25">
      <c r="A920" t="s">
        <v>17</v>
      </c>
      <c r="B920" s="1">
        <v>41718</v>
      </c>
      <c r="C920" t="s">
        <v>67</v>
      </c>
      <c r="D920" t="str">
        <f>CONCATENATE("0060005532","")</f>
        <v>0060005532</v>
      </c>
      <c r="E920" t="str">
        <f>CONCATENATE("0120701001700       ","")</f>
        <v xml:space="preserve">0120701001700       </v>
      </c>
      <c r="F920" t="str">
        <f>CONCATENATE("1870171","")</f>
        <v>1870171</v>
      </c>
      <c r="G920" t="s">
        <v>1565</v>
      </c>
      <c r="H920" t="s">
        <v>1576</v>
      </c>
      <c r="I920" t="s">
        <v>1575</v>
      </c>
      <c r="J920" t="str">
        <f t="shared" si="105"/>
        <v>081207</v>
      </c>
      <c r="K920" t="s">
        <v>22</v>
      </c>
      <c r="L920" t="s">
        <v>23</v>
      </c>
      <c r="M920" t="str">
        <f t="shared" si="100"/>
        <v>1</v>
      </c>
      <c r="O920" t="str">
        <f t="shared" ref="O920:O927" si="106">CONCATENATE("1 ","")</f>
        <v xml:space="preserve">1 </v>
      </c>
      <c r="P920">
        <v>82.3</v>
      </c>
      <c r="Q920" t="s">
        <v>24</v>
      </c>
    </row>
    <row r="921" spans="1:17" x14ac:dyDescent="0.25">
      <c r="A921" t="s">
        <v>17</v>
      </c>
      <c r="B921" s="1">
        <v>41718</v>
      </c>
      <c r="C921" t="s">
        <v>67</v>
      </c>
      <c r="D921" t="str">
        <f>CONCATENATE("0060005568","")</f>
        <v>0060005568</v>
      </c>
      <c r="E921" t="str">
        <f>CONCATENATE("0120701002020       ","")</f>
        <v xml:space="preserve">0120701002020       </v>
      </c>
      <c r="F921" t="str">
        <f>CONCATENATE("605750750","")</f>
        <v>605750750</v>
      </c>
      <c r="G921" t="s">
        <v>1577</v>
      </c>
      <c r="H921" t="s">
        <v>1578</v>
      </c>
      <c r="I921" t="s">
        <v>1579</v>
      </c>
      <c r="J921" t="str">
        <f t="shared" si="105"/>
        <v>081207</v>
      </c>
      <c r="K921" t="s">
        <v>22</v>
      </c>
      <c r="L921" t="s">
        <v>23</v>
      </c>
      <c r="M921" t="str">
        <f t="shared" si="100"/>
        <v>1</v>
      </c>
      <c r="O921" t="str">
        <f t="shared" si="106"/>
        <v xml:space="preserve">1 </v>
      </c>
      <c r="P921">
        <v>29.05</v>
      </c>
      <c r="Q921" t="s">
        <v>24</v>
      </c>
    </row>
    <row r="922" spans="1:17" x14ac:dyDescent="0.25">
      <c r="A922" t="s">
        <v>17</v>
      </c>
      <c r="B922" s="1">
        <v>41718</v>
      </c>
      <c r="C922" t="s">
        <v>67</v>
      </c>
      <c r="D922" t="str">
        <f>CONCATENATE("0060005623","")</f>
        <v>0060005623</v>
      </c>
      <c r="E922" t="str">
        <f>CONCATENATE("0120701002450       ","")</f>
        <v xml:space="preserve">0120701002450       </v>
      </c>
      <c r="F922" t="str">
        <f>CONCATENATE("605392877","")</f>
        <v>605392877</v>
      </c>
      <c r="G922" t="s">
        <v>1565</v>
      </c>
      <c r="H922" t="s">
        <v>1580</v>
      </c>
      <c r="I922" t="s">
        <v>1581</v>
      </c>
      <c r="J922" t="str">
        <f t="shared" si="105"/>
        <v>081207</v>
      </c>
      <c r="K922" t="s">
        <v>22</v>
      </c>
      <c r="L922" t="s">
        <v>23</v>
      </c>
      <c r="M922" t="str">
        <f t="shared" si="100"/>
        <v>1</v>
      </c>
      <c r="O922" t="str">
        <f t="shared" si="106"/>
        <v xml:space="preserve">1 </v>
      </c>
      <c r="P922">
        <v>15.45</v>
      </c>
      <c r="Q922" t="s">
        <v>24</v>
      </c>
    </row>
    <row r="923" spans="1:17" x14ac:dyDescent="0.25">
      <c r="A923" t="s">
        <v>17</v>
      </c>
      <c r="B923" s="1">
        <v>41718</v>
      </c>
      <c r="C923" t="s">
        <v>67</v>
      </c>
      <c r="D923" t="str">
        <f>CONCATENATE("0060005634","")</f>
        <v>0060005634</v>
      </c>
      <c r="E923" t="str">
        <f>CONCATENATE("0120701002560       ","")</f>
        <v xml:space="preserve">0120701002560       </v>
      </c>
      <c r="F923" t="str">
        <f>CONCATENATE("1935111","")</f>
        <v>1935111</v>
      </c>
      <c r="G923" t="s">
        <v>1577</v>
      </c>
      <c r="H923" t="s">
        <v>1582</v>
      </c>
      <c r="I923" t="s">
        <v>1583</v>
      </c>
      <c r="J923" t="str">
        <f t="shared" si="105"/>
        <v>081207</v>
      </c>
      <c r="K923" t="s">
        <v>22</v>
      </c>
      <c r="L923" t="s">
        <v>23</v>
      </c>
      <c r="M923" t="str">
        <f t="shared" si="100"/>
        <v>1</v>
      </c>
      <c r="O923" t="str">
        <f t="shared" si="106"/>
        <v xml:space="preserve">1 </v>
      </c>
      <c r="P923">
        <v>11.35</v>
      </c>
      <c r="Q923" t="s">
        <v>24</v>
      </c>
    </row>
    <row r="924" spans="1:17" x14ac:dyDescent="0.25">
      <c r="A924" t="s">
        <v>17</v>
      </c>
      <c r="B924" s="1">
        <v>41718</v>
      </c>
      <c r="C924" t="s">
        <v>67</v>
      </c>
      <c r="D924" t="str">
        <f>CONCATENATE("0060018347","")</f>
        <v>0060018347</v>
      </c>
      <c r="E924" t="str">
        <f>CONCATENATE("0120701002668       ","")</f>
        <v xml:space="preserve">0120701002668       </v>
      </c>
      <c r="F924" t="str">
        <f>CONCATENATE("2187745","")</f>
        <v>2187745</v>
      </c>
      <c r="G924" t="s">
        <v>1577</v>
      </c>
      <c r="H924" t="s">
        <v>1584</v>
      </c>
      <c r="I924" t="s">
        <v>1585</v>
      </c>
      <c r="J924" t="str">
        <f t="shared" si="105"/>
        <v>081207</v>
      </c>
      <c r="K924" t="s">
        <v>22</v>
      </c>
      <c r="L924" t="s">
        <v>23</v>
      </c>
      <c r="M924" t="str">
        <f t="shared" si="100"/>
        <v>1</v>
      </c>
      <c r="O924" t="str">
        <f t="shared" si="106"/>
        <v xml:space="preserve">1 </v>
      </c>
      <c r="P924">
        <v>13.2</v>
      </c>
      <c r="Q924" t="s">
        <v>24</v>
      </c>
    </row>
    <row r="925" spans="1:17" x14ac:dyDescent="0.25">
      <c r="A925" t="s">
        <v>17</v>
      </c>
      <c r="B925" s="1">
        <v>41718</v>
      </c>
      <c r="C925" t="s">
        <v>67</v>
      </c>
      <c r="D925" t="str">
        <f>CONCATENATE("0060005681","")</f>
        <v>0060005681</v>
      </c>
      <c r="E925" t="str">
        <f>CONCATENATE("0120702000180       ","")</f>
        <v xml:space="preserve">0120702000180       </v>
      </c>
      <c r="F925" t="str">
        <f>CONCATENATE("1937635","")</f>
        <v>1937635</v>
      </c>
      <c r="G925" t="s">
        <v>1565</v>
      </c>
      <c r="H925" t="s">
        <v>1586</v>
      </c>
      <c r="I925" t="s">
        <v>1587</v>
      </c>
      <c r="J925" t="str">
        <f t="shared" si="105"/>
        <v>081207</v>
      </c>
      <c r="K925" t="s">
        <v>22</v>
      </c>
      <c r="L925" t="s">
        <v>23</v>
      </c>
      <c r="M925" t="str">
        <f t="shared" si="100"/>
        <v>1</v>
      </c>
      <c r="O925" t="str">
        <f t="shared" si="106"/>
        <v xml:space="preserve">1 </v>
      </c>
      <c r="P925">
        <v>111.8</v>
      </c>
      <c r="Q925" t="s">
        <v>24</v>
      </c>
    </row>
    <row r="926" spans="1:17" x14ac:dyDescent="0.25">
      <c r="A926" t="s">
        <v>17</v>
      </c>
      <c r="B926" s="1">
        <v>41718</v>
      </c>
      <c r="C926" t="s">
        <v>67</v>
      </c>
      <c r="D926" t="str">
        <f>CONCATENATE("0060005693","")</f>
        <v>0060005693</v>
      </c>
      <c r="E926" t="str">
        <f>CONCATENATE("0120702000295       ","")</f>
        <v xml:space="preserve">0120702000295       </v>
      </c>
      <c r="F926" t="str">
        <f>CONCATENATE("605082719","")</f>
        <v>605082719</v>
      </c>
      <c r="G926" t="s">
        <v>1565</v>
      </c>
      <c r="H926" t="s">
        <v>1588</v>
      </c>
      <c r="I926" t="s">
        <v>1589</v>
      </c>
      <c r="J926" t="str">
        <f t="shared" si="105"/>
        <v>081207</v>
      </c>
      <c r="K926" t="s">
        <v>22</v>
      </c>
      <c r="L926" t="s">
        <v>23</v>
      </c>
      <c r="M926" t="str">
        <f t="shared" si="100"/>
        <v>1</v>
      </c>
      <c r="O926" t="str">
        <f t="shared" si="106"/>
        <v xml:space="preserve">1 </v>
      </c>
      <c r="P926">
        <v>11.35</v>
      </c>
      <c r="Q926" t="s">
        <v>24</v>
      </c>
    </row>
    <row r="927" spans="1:17" x14ac:dyDescent="0.25">
      <c r="A927" t="s">
        <v>17</v>
      </c>
      <c r="B927" s="1">
        <v>41718</v>
      </c>
      <c r="C927" t="s">
        <v>67</v>
      </c>
      <c r="D927" t="str">
        <f>CONCATENATE("0060015451","")</f>
        <v>0060015451</v>
      </c>
      <c r="E927" t="str">
        <f>CONCATENATE("0120703000008       ","")</f>
        <v xml:space="preserve">0120703000008       </v>
      </c>
      <c r="F927" t="str">
        <f>CONCATENATE("605940372","")</f>
        <v>605940372</v>
      </c>
      <c r="G927" t="s">
        <v>1590</v>
      </c>
      <c r="H927" t="s">
        <v>1591</v>
      </c>
      <c r="I927" t="s">
        <v>1592</v>
      </c>
      <c r="J927" t="str">
        <f t="shared" si="105"/>
        <v>081207</v>
      </c>
      <c r="K927" t="s">
        <v>22</v>
      </c>
      <c r="L927" t="s">
        <v>23</v>
      </c>
      <c r="M927" t="str">
        <f t="shared" si="100"/>
        <v>1</v>
      </c>
      <c r="O927" t="str">
        <f t="shared" si="106"/>
        <v xml:space="preserve">1 </v>
      </c>
      <c r="P927">
        <v>27.1</v>
      </c>
      <c r="Q927" t="s">
        <v>24</v>
      </c>
    </row>
    <row r="928" spans="1:17" x14ac:dyDescent="0.25">
      <c r="A928" t="s">
        <v>17</v>
      </c>
      <c r="B928" s="1">
        <v>41718</v>
      </c>
      <c r="C928" t="s">
        <v>140</v>
      </c>
      <c r="D928" t="str">
        <f>CONCATENATE("0060016646","")</f>
        <v>0060016646</v>
      </c>
      <c r="E928" t="str">
        <f>CONCATENATE("0120703000011       ","")</f>
        <v xml:space="preserve">0120703000011       </v>
      </c>
      <c r="F928" t="str">
        <f>CONCATENATE("1930010","")</f>
        <v>1930010</v>
      </c>
      <c r="G928" t="s">
        <v>1590</v>
      </c>
      <c r="H928" t="s">
        <v>1593</v>
      </c>
      <c r="I928" t="s">
        <v>1594</v>
      </c>
      <c r="J928" t="str">
        <f>CONCATENATE("081201","")</f>
        <v>081201</v>
      </c>
      <c r="K928" t="s">
        <v>22</v>
      </c>
      <c r="L928" t="s">
        <v>23</v>
      </c>
      <c r="M928" t="str">
        <f t="shared" si="100"/>
        <v>1</v>
      </c>
      <c r="O928" t="str">
        <f>CONCATENATE("2 ","")</f>
        <v xml:space="preserve">2 </v>
      </c>
      <c r="P928">
        <v>18.2</v>
      </c>
      <c r="Q928" t="s">
        <v>24</v>
      </c>
    </row>
    <row r="929" spans="1:17" x14ac:dyDescent="0.25">
      <c r="A929" t="s">
        <v>17</v>
      </c>
      <c r="B929" s="1">
        <v>41718</v>
      </c>
      <c r="C929" t="s">
        <v>67</v>
      </c>
      <c r="D929" t="str">
        <f>CONCATENATE("0060019035","")</f>
        <v>0060019035</v>
      </c>
      <c r="E929" t="str">
        <f>CONCATENATE("0120703000268       ","")</f>
        <v xml:space="preserve">0120703000268       </v>
      </c>
      <c r="F929" t="str">
        <f>CONCATENATE("1680213","")</f>
        <v>1680213</v>
      </c>
      <c r="G929" t="s">
        <v>1590</v>
      </c>
      <c r="H929" t="s">
        <v>1595</v>
      </c>
      <c r="I929" t="s">
        <v>1596</v>
      </c>
      <c r="J929" t="str">
        <f t="shared" ref="J929:J940" si="107">CONCATENATE("081207","")</f>
        <v>081207</v>
      </c>
      <c r="K929" t="s">
        <v>22</v>
      </c>
      <c r="L929" t="s">
        <v>23</v>
      </c>
      <c r="M929" t="str">
        <f>CONCATENATE("3","")</f>
        <v>3</v>
      </c>
      <c r="O929" t="str">
        <f>CONCATENATE("1 ","")</f>
        <v xml:space="preserve">1 </v>
      </c>
      <c r="P929">
        <v>152.80000000000001</v>
      </c>
      <c r="Q929" t="s">
        <v>28</v>
      </c>
    </row>
    <row r="930" spans="1:17" x14ac:dyDescent="0.25">
      <c r="A930" t="s">
        <v>17</v>
      </c>
      <c r="B930" s="1">
        <v>41718</v>
      </c>
      <c r="C930" t="s">
        <v>67</v>
      </c>
      <c r="D930" t="str">
        <f>CONCATENATE("0060012862","")</f>
        <v>0060012862</v>
      </c>
      <c r="E930" t="str">
        <f>CONCATENATE("0120703000373       ","")</f>
        <v xml:space="preserve">0120703000373       </v>
      </c>
      <c r="F930" t="str">
        <f>CONCATENATE("605290813","")</f>
        <v>605290813</v>
      </c>
      <c r="G930" t="s">
        <v>1590</v>
      </c>
      <c r="H930" t="s">
        <v>1597</v>
      </c>
      <c r="I930" t="s">
        <v>1598</v>
      </c>
      <c r="J930" t="str">
        <f t="shared" si="107"/>
        <v>081207</v>
      </c>
      <c r="K930" t="s">
        <v>22</v>
      </c>
      <c r="L930" t="s">
        <v>23</v>
      </c>
      <c r="M930" t="str">
        <f>CONCATENATE("1","")</f>
        <v>1</v>
      </c>
      <c r="O930" t="str">
        <f>CONCATENATE("2 ","")</f>
        <v xml:space="preserve">2 </v>
      </c>
      <c r="P930">
        <v>590.70000000000005</v>
      </c>
      <c r="Q930" t="s">
        <v>24</v>
      </c>
    </row>
    <row r="931" spans="1:17" x14ac:dyDescent="0.25">
      <c r="A931" t="s">
        <v>17</v>
      </c>
      <c r="B931" s="1">
        <v>41718</v>
      </c>
      <c r="C931" t="s">
        <v>67</v>
      </c>
      <c r="D931" t="str">
        <f>CONCATENATE("0060005790","")</f>
        <v>0060005790</v>
      </c>
      <c r="E931" t="str">
        <f>CONCATENATE("0120703000470       ","")</f>
        <v xml:space="preserve">0120703000470       </v>
      </c>
      <c r="F931" t="str">
        <f>CONCATENATE("605275748","")</f>
        <v>605275748</v>
      </c>
      <c r="G931" t="s">
        <v>1590</v>
      </c>
      <c r="H931" t="s">
        <v>1599</v>
      </c>
      <c r="I931" t="s">
        <v>1600</v>
      </c>
      <c r="J931" t="str">
        <f t="shared" si="107"/>
        <v>081207</v>
      </c>
      <c r="K931" t="s">
        <v>22</v>
      </c>
      <c r="L931" t="s">
        <v>23</v>
      </c>
      <c r="M931" t="str">
        <f>CONCATENATE("1","")</f>
        <v>1</v>
      </c>
      <c r="O931" t="str">
        <f>CONCATENATE("1 ","")</f>
        <v xml:space="preserve">1 </v>
      </c>
      <c r="P931">
        <v>66.75</v>
      </c>
      <c r="Q931" t="s">
        <v>24</v>
      </c>
    </row>
    <row r="932" spans="1:17" x14ac:dyDescent="0.25">
      <c r="A932" t="s">
        <v>17</v>
      </c>
      <c r="B932" s="1">
        <v>41718</v>
      </c>
      <c r="C932" t="s">
        <v>67</v>
      </c>
      <c r="D932" t="str">
        <f>CONCATENATE("0060005856","")</f>
        <v>0060005856</v>
      </c>
      <c r="E932" t="str">
        <f>CONCATENATE("0120720000630       ","")</f>
        <v xml:space="preserve">0120720000630       </v>
      </c>
      <c r="F932" t="str">
        <f>CONCATENATE("2120526","")</f>
        <v>2120526</v>
      </c>
      <c r="G932" t="s">
        <v>1601</v>
      </c>
      <c r="H932" t="s">
        <v>1602</v>
      </c>
      <c r="I932" t="s">
        <v>1603</v>
      </c>
      <c r="J932" t="str">
        <f t="shared" si="107"/>
        <v>081207</v>
      </c>
      <c r="K932" t="s">
        <v>22</v>
      </c>
      <c r="L932" t="s">
        <v>23</v>
      </c>
      <c r="M932" t="str">
        <f>CONCATENATE("1","")</f>
        <v>1</v>
      </c>
      <c r="O932" t="str">
        <f>CONCATENATE("1 ","")</f>
        <v xml:space="preserve">1 </v>
      </c>
      <c r="P932">
        <v>36.15</v>
      </c>
      <c r="Q932" t="s">
        <v>24</v>
      </c>
    </row>
    <row r="933" spans="1:17" x14ac:dyDescent="0.25">
      <c r="A933" t="s">
        <v>17</v>
      </c>
      <c r="B933" s="1">
        <v>41718</v>
      </c>
      <c r="C933" t="s">
        <v>67</v>
      </c>
      <c r="D933" t="str">
        <f>CONCATENATE("0060014736","")</f>
        <v>0060014736</v>
      </c>
      <c r="E933" t="str">
        <f>CONCATENATE("0120721000110       ","")</f>
        <v xml:space="preserve">0120721000110       </v>
      </c>
      <c r="F933" t="str">
        <f>CONCATENATE("605933448","")</f>
        <v>605933448</v>
      </c>
      <c r="G933" t="s">
        <v>1604</v>
      </c>
      <c r="H933" t="s">
        <v>1605</v>
      </c>
      <c r="I933" t="s">
        <v>1606</v>
      </c>
      <c r="J933" t="str">
        <f t="shared" si="107"/>
        <v>081207</v>
      </c>
      <c r="K933" t="s">
        <v>22</v>
      </c>
      <c r="L933" t="s">
        <v>23</v>
      </c>
      <c r="M933" t="str">
        <f>CONCATENATE("1","")</f>
        <v>1</v>
      </c>
      <c r="O933" t="str">
        <f>CONCATENATE("1 ","")</f>
        <v xml:space="preserve">1 </v>
      </c>
      <c r="P933">
        <v>11.45</v>
      </c>
      <c r="Q933" t="s">
        <v>24</v>
      </c>
    </row>
    <row r="934" spans="1:17" x14ac:dyDescent="0.25">
      <c r="A934" t="s">
        <v>17</v>
      </c>
      <c r="B934" s="1">
        <v>41718</v>
      </c>
      <c r="C934" t="s">
        <v>67</v>
      </c>
      <c r="D934" t="str">
        <f>CONCATENATE("0060009396","")</f>
        <v>0060009396</v>
      </c>
      <c r="E934" t="str">
        <f>CONCATENATE("0120721000315       ","")</f>
        <v xml:space="preserve">0120721000315       </v>
      </c>
      <c r="F934" t="str">
        <f>CONCATENATE("2597","")</f>
        <v>2597</v>
      </c>
      <c r="G934" t="s">
        <v>1604</v>
      </c>
      <c r="H934" t="s">
        <v>1607</v>
      </c>
      <c r="I934" t="e">
        <f>-TEXTILES-URPAY---HUARO</f>
        <v>#NAME?</v>
      </c>
      <c r="J934" t="str">
        <f t="shared" si="107"/>
        <v>081207</v>
      </c>
      <c r="K934" t="s">
        <v>22</v>
      </c>
      <c r="L934" t="s">
        <v>23</v>
      </c>
      <c r="M934" t="str">
        <f>CONCATENATE("3","")</f>
        <v>3</v>
      </c>
      <c r="O934" t="str">
        <f>CONCATENATE("1 ","")</f>
        <v xml:space="preserve">1 </v>
      </c>
      <c r="P934">
        <v>6484.7</v>
      </c>
      <c r="Q934" t="s">
        <v>28</v>
      </c>
    </row>
    <row r="935" spans="1:17" x14ac:dyDescent="0.25">
      <c r="A935" t="s">
        <v>17</v>
      </c>
      <c r="B935" s="1">
        <v>41718</v>
      </c>
      <c r="C935" t="s">
        <v>67</v>
      </c>
      <c r="D935" t="str">
        <f>CONCATENATE("0060016458","")</f>
        <v>0060016458</v>
      </c>
      <c r="E935" t="str">
        <f>CONCATENATE("0120722000202       ","")</f>
        <v xml:space="preserve">0120722000202       </v>
      </c>
      <c r="F935" t="str">
        <f>CONCATENATE("1935226","")</f>
        <v>1935226</v>
      </c>
      <c r="G935" t="s">
        <v>1608</v>
      </c>
      <c r="H935" t="s">
        <v>1609</v>
      </c>
      <c r="I935" t="s">
        <v>1610</v>
      </c>
      <c r="J935" t="str">
        <f t="shared" si="107"/>
        <v>081207</v>
      </c>
      <c r="K935" t="s">
        <v>22</v>
      </c>
      <c r="L935" t="s">
        <v>23</v>
      </c>
      <c r="M935" t="str">
        <f t="shared" ref="M935:M950" si="108">CONCATENATE("1","")</f>
        <v>1</v>
      </c>
      <c r="O935" t="str">
        <f>CONCATENATE("2 ","")</f>
        <v xml:space="preserve">2 </v>
      </c>
      <c r="P935">
        <v>27.45</v>
      </c>
      <c r="Q935" t="s">
        <v>24</v>
      </c>
    </row>
    <row r="936" spans="1:17" x14ac:dyDescent="0.25">
      <c r="A936" t="s">
        <v>17</v>
      </c>
      <c r="B936" s="1">
        <v>41718</v>
      </c>
      <c r="C936" t="s">
        <v>67</v>
      </c>
      <c r="D936" t="str">
        <f>CONCATENATE("0060005948","")</f>
        <v>0060005948</v>
      </c>
      <c r="E936" t="str">
        <f>CONCATENATE("0120722000210       ","")</f>
        <v xml:space="preserve">0120722000210       </v>
      </c>
      <c r="F936" t="str">
        <f>CONCATENATE("07552607","")</f>
        <v>07552607</v>
      </c>
      <c r="G936" t="s">
        <v>1608</v>
      </c>
      <c r="H936" t="s">
        <v>1611</v>
      </c>
      <c r="I936" t="s">
        <v>1612</v>
      </c>
      <c r="J936" t="str">
        <f t="shared" si="107"/>
        <v>081207</v>
      </c>
      <c r="K936" t="s">
        <v>22</v>
      </c>
      <c r="L936" t="s">
        <v>23</v>
      </c>
      <c r="M936" t="str">
        <f t="shared" si="108"/>
        <v>1</v>
      </c>
      <c r="O936" t="str">
        <f>CONCATENATE("1 ","")</f>
        <v xml:space="preserve">1 </v>
      </c>
      <c r="P936">
        <v>31.5</v>
      </c>
      <c r="Q936" t="s">
        <v>24</v>
      </c>
    </row>
    <row r="937" spans="1:17" x14ac:dyDescent="0.25">
      <c r="A937" t="s">
        <v>17</v>
      </c>
      <c r="B937" s="1">
        <v>41718</v>
      </c>
      <c r="C937" t="s">
        <v>67</v>
      </c>
      <c r="D937" t="str">
        <f>CONCATENATE("0060010102","")</f>
        <v>0060010102</v>
      </c>
      <c r="E937" t="str">
        <f>CONCATENATE("0120722000710       ","")</f>
        <v xml:space="preserve">0120722000710       </v>
      </c>
      <c r="F937" t="str">
        <f>CONCATENATE("00000548101","")</f>
        <v>00000548101</v>
      </c>
      <c r="G937" t="s">
        <v>1608</v>
      </c>
      <c r="H937" t="s">
        <v>1613</v>
      </c>
      <c r="I937" t="s">
        <v>1614</v>
      </c>
      <c r="J937" t="str">
        <f t="shared" si="107"/>
        <v>081207</v>
      </c>
      <c r="K937" t="s">
        <v>22</v>
      </c>
      <c r="L937" t="s">
        <v>23</v>
      </c>
      <c r="M937" t="str">
        <f t="shared" si="108"/>
        <v>1</v>
      </c>
      <c r="O937" t="str">
        <f>CONCATENATE("1 ","")</f>
        <v xml:space="preserve">1 </v>
      </c>
      <c r="P937">
        <v>501.9</v>
      </c>
      <c r="Q937" t="s">
        <v>24</v>
      </c>
    </row>
    <row r="938" spans="1:17" x14ac:dyDescent="0.25">
      <c r="A938" t="s">
        <v>17</v>
      </c>
      <c r="B938" s="1">
        <v>41718</v>
      </c>
      <c r="C938" t="s">
        <v>67</v>
      </c>
      <c r="D938" t="str">
        <f>CONCATENATE("0060017860","")</f>
        <v>0060017860</v>
      </c>
      <c r="E938" t="str">
        <f>CONCATENATE("0120725000080       ","")</f>
        <v xml:space="preserve">0120725000080       </v>
      </c>
      <c r="F938" t="str">
        <f>CONCATENATE("0606095440","")</f>
        <v>0606095440</v>
      </c>
      <c r="G938" t="s">
        <v>1615</v>
      </c>
      <c r="H938" t="s">
        <v>1616</v>
      </c>
      <c r="I938" t="s">
        <v>1617</v>
      </c>
      <c r="J938" t="str">
        <f t="shared" si="107"/>
        <v>081207</v>
      </c>
      <c r="K938" t="s">
        <v>22</v>
      </c>
      <c r="L938" t="s">
        <v>23</v>
      </c>
      <c r="M938" t="str">
        <f t="shared" si="108"/>
        <v>1</v>
      </c>
      <c r="O938" t="str">
        <f>CONCATENATE("4 ","")</f>
        <v xml:space="preserve">4 </v>
      </c>
      <c r="P938">
        <v>31.5</v>
      </c>
      <c r="Q938" t="s">
        <v>24</v>
      </c>
    </row>
    <row r="939" spans="1:17" x14ac:dyDescent="0.25">
      <c r="A939" t="s">
        <v>17</v>
      </c>
      <c r="B939" s="1">
        <v>41718</v>
      </c>
      <c r="C939" t="s">
        <v>67</v>
      </c>
      <c r="D939" t="str">
        <f>CONCATENATE("0060017767","")</f>
        <v>0060017767</v>
      </c>
      <c r="E939" t="str">
        <f>CONCATENATE("0120727000040       ","")</f>
        <v xml:space="preserve">0120727000040       </v>
      </c>
      <c r="F939" t="str">
        <f>CONCATENATE("0606095697","")</f>
        <v>0606095697</v>
      </c>
      <c r="G939" t="s">
        <v>1618</v>
      </c>
      <c r="H939" t="s">
        <v>1619</v>
      </c>
      <c r="I939" t="s">
        <v>1620</v>
      </c>
      <c r="J939" t="str">
        <f t="shared" si="107"/>
        <v>081207</v>
      </c>
      <c r="K939" t="s">
        <v>22</v>
      </c>
      <c r="L939" t="s">
        <v>23</v>
      </c>
      <c r="M939" t="str">
        <f t="shared" si="108"/>
        <v>1</v>
      </c>
      <c r="O939" t="str">
        <f>CONCATENATE("2 ","")</f>
        <v xml:space="preserve">2 </v>
      </c>
      <c r="P939">
        <v>26.75</v>
      </c>
      <c r="Q939" t="s">
        <v>24</v>
      </c>
    </row>
    <row r="940" spans="1:17" x14ac:dyDescent="0.25">
      <c r="A940" t="s">
        <v>17</v>
      </c>
      <c r="B940" s="1">
        <v>41718</v>
      </c>
      <c r="C940" t="s">
        <v>67</v>
      </c>
      <c r="D940" t="str">
        <f>CONCATENATE("0060017787","")</f>
        <v>0060017787</v>
      </c>
      <c r="E940" t="str">
        <f>CONCATENATE("0120727000240       ","")</f>
        <v xml:space="preserve">0120727000240       </v>
      </c>
      <c r="F940" t="str">
        <f>CONCATENATE("0606144179","")</f>
        <v>0606144179</v>
      </c>
      <c r="G940" t="s">
        <v>1618</v>
      </c>
      <c r="H940" t="s">
        <v>1621</v>
      </c>
      <c r="I940" t="s">
        <v>1622</v>
      </c>
      <c r="J940" t="str">
        <f t="shared" si="107"/>
        <v>081207</v>
      </c>
      <c r="K940" t="s">
        <v>22</v>
      </c>
      <c r="L940" t="s">
        <v>23</v>
      </c>
      <c r="M940" t="str">
        <f t="shared" si="108"/>
        <v>1</v>
      </c>
      <c r="O940" t="str">
        <f>CONCATENATE("5 ","")</f>
        <v xml:space="preserve">5 </v>
      </c>
      <c r="P940">
        <v>34.549999999999997</v>
      </c>
      <c r="Q940" t="s">
        <v>24</v>
      </c>
    </row>
    <row r="941" spans="1:17" x14ac:dyDescent="0.25">
      <c r="A941" t="s">
        <v>17</v>
      </c>
      <c r="B941" s="1">
        <v>41718</v>
      </c>
      <c r="C941" t="s">
        <v>289</v>
      </c>
      <c r="D941" t="str">
        <f>CONCATENATE("0060005986","")</f>
        <v>0060005986</v>
      </c>
      <c r="E941" t="str">
        <f>CONCATENATE("0120785000120       ","")</f>
        <v xml:space="preserve">0120785000120       </v>
      </c>
      <c r="F941" t="str">
        <f>CONCATENATE("605932620","")</f>
        <v>605932620</v>
      </c>
      <c r="G941" t="s">
        <v>1623</v>
      </c>
      <c r="H941" t="s">
        <v>1624</v>
      </c>
      <c r="I941" t="s">
        <v>1625</v>
      </c>
      <c r="J941" t="str">
        <f t="shared" ref="J941:J947" si="109">CONCATENATE("081202","")</f>
        <v>081202</v>
      </c>
      <c r="K941" t="s">
        <v>22</v>
      </c>
      <c r="L941" t="s">
        <v>23</v>
      </c>
      <c r="M941" t="str">
        <f t="shared" si="108"/>
        <v>1</v>
      </c>
      <c r="O941" t="str">
        <f t="shared" ref="O941:O946" si="110">CONCATENATE("1 ","")</f>
        <v xml:space="preserve">1 </v>
      </c>
      <c r="P941">
        <v>55.1</v>
      </c>
      <c r="Q941" t="s">
        <v>24</v>
      </c>
    </row>
    <row r="942" spans="1:17" x14ac:dyDescent="0.25">
      <c r="A942" t="s">
        <v>17</v>
      </c>
      <c r="B942" s="1">
        <v>41718</v>
      </c>
      <c r="C942" t="s">
        <v>289</v>
      </c>
      <c r="D942" t="str">
        <f>CONCATENATE("0060006008","")</f>
        <v>0060006008</v>
      </c>
      <c r="E942" t="str">
        <f>CONCATENATE("0120785000300       ","")</f>
        <v xml:space="preserve">0120785000300       </v>
      </c>
      <c r="F942" t="str">
        <f>CONCATENATE("605054638","")</f>
        <v>605054638</v>
      </c>
      <c r="G942" t="s">
        <v>1623</v>
      </c>
      <c r="H942" t="s">
        <v>1626</v>
      </c>
      <c r="I942" t="s">
        <v>1625</v>
      </c>
      <c r="J942" t="str">
        <f t="shared" si="109"/>
        <v>081202</v>
      </c>
      <c r="K942" t="s">
        <v>22</v>
      </c>
      <c r="L942" t="s">
        <v>23</v>
      </c>
      <c r="M942" t="str">
        <f t="shared" si="108"/>
        <v>1</v>
      </c>
      <c r="O942" t="str">
        <f t="shared" si="110"/>
        <v xml:space="preserve">1 </v>
      </c>
      <c r="P942">
        <v>15.75</v>
      </c>
      <c r="Q942" t="s">
        <v>24</v>
      </c>
    </row>
    <row r="943" spans="1:17" x14ac:dyDescent="0.25">
      <c r="A943" t="s">
        <v>17</v>
      </c>
      <c r="B943" s="1">
        <v>41718</v>
      </c>
      <c r="C943" t="s">
        <v>289</v>
      </c>
      <c r="D943" t="str">
        <f>CONCATENATE("0060006013","")</f>
        <v>0060006013</v>
      </c>
      <c r="E943" t="str">
        <f>CONCATENATE("0120785000310       ","")</f>
        <v xml:space="preserve">0120785000310       </v>
      </c>
      <c r="F943" t="str">
        <f>CONCATENATE("05505969","")</f>
        <v>05505969</v>
      </c>
      <c r="G943" t="s">
        <v>1623</v>
      </c>
      <c r="H943" t="s">
        <v>1627</v>
      </c>
      <c r="I943" t="s">
        <v>1625</v>
      </c>
      <c r="J943" t="str">
        <f t="shared" si="109"/>
        <v>081202</v>
      </c>
      <c r="K943" t="s">
        <v>22</v>
      </c>
      <c r="L943" t="s">
        <v>23</v>
      </c>
      <c r="M943" t="str">
        <f t="shared" si="108"/>
        <v>1</v>
      </c>
      <c r="O943" t="str">
        <f t="shared" si="110"/>
        <v xml:space="preserve">1 </v>
      </c>
      <c r="P943">
        <v>12.3</v>
      </c>
      <c r="Q943" t="s">
        <v>24</v>
      </c>
    </row>
    <row r="944" spans="1:17" x14ac:dyDescent="0.25">
      <c r="A944" t="s">
        <v>17</v>
      </c>
      <c r="B944" s="1">
        <v>41718</v>
      </c>
      <c r="C944" t="s">
        <v>289</v>
      </c>
      <c r="D944" t="str">
        <f>CONCATENATE("0060006014","")</f>
        <v>0060006014</v>
      </c>
      <c r="E944" t="str">
        <f>CONCATENATE("0120785000320       ","")</f>
        <v xml:space="preserve">0120785000320       </v>
      </c>
      <c r="F944" t="str">
        <f>CONCATENATE("605772839","")</f>
        <v>605772839</v>
      </c>
      <c r="G944" t="s">
        <v>1623</v>
      </c>
      <c r="H944" t="s">
        <v>1628</v>
      </c>
      <c r="I944" t="s">
        <v>1625</v>
      </c>
      <c r="J944" t="str">
        <f t="shared" si="109"/>
        <v>081202</v>
      </c>
      <c r="K944" t="s">
        <v>22</v>
      </c>
      <c r="L944" t="s">
        <v>23</v>
      </c>
      <c r="M944" t="str">
        <f t="shared" si="108"/>
        <v>1</v>
      </c>
      <c r="O944" t="str">
        <f t="shared" si="110"/>
        <v xml:space="preserve">1 </v>
      </c>
      <c r="P944">
        <v>11.4</v>
      </c>
      <c r="Q944" t="s">
        <v>24</v>
      </c>
    </row>
    <row r="945" spans="1:17" x14ac:dyDescent="0.25">
      <c r="A945" t="s">
        <v>17</v>
      </c>
      <c r="B945" s="1">
        <v>41718</v>
      </c>
      <c r="C945" t="s">
        <v>289</v>
      </c>
      <c r="D945" t="str">
        <f>CONCATENATE("0060013484","")</f>
        <v>0060013484</v>
      </c>
      <c r="E945" t="str">
        <f>CONCATENATE("0120785000540       ","")</f>
        <v xml:space="preserve">0120785000540       </v>
      </c>
      <c r="F945" t="str">
        <f>CONCATENATE("1574530","")</f>
        <v>1574530</v>
      </c>
      <c r="G945" t="s">
        <v>1623</v>
      </c>
      <c r="H945" t="s">
        <v>1629</v>
      </c>
      <c r="I945" t="s">
        <v>1630</v>
      </c>
      <c r="J945" t="str">
        <f t="shared" si="109"/>
        <v>081202</v>
      </c>
      <c r="K945" t="s">
        <v>22</v>
      </c>
      <c r="L945" t="s">
        <v>23</v>
      </c>
      <c r="M945" t="str">
        <f t="shared" si="108"/>
        <v>1</v>
      </c>
      <c r="O945" t="str">
        <f t="shared" si="110"/>
        <v xml:space="preserve">1 </v>
      </c>
      <c r="P945">
        <v>11.35</v>
      </c>
      <c r="Q945" t="s">
        <v>24</v>
      </c>
    </row>
    <row r="946" spans="1:17" x14ac:dyDescent="0.25">
      <c r="A946" t="s">
        <v>17</v>
      </c>
      <c r="B946" s="1">
        <v>41718</v>
      </c>
      <c r="C946" t="s">
        <v>289</v>
      </c>
      <c r="D946" t="str">
        <f>CONCATENATE("0060013487","")</f>
        <v>0060013487</v>
      </c>
      <c r="E946" t="str">
        <f>CONCATENATE("0120785000550       ","")</f>
        <v xml:space="preserve">0120785000550       </v>
      </c>
      <c r="F946" t="str">
        <f>CONCATENATE("1574659","")</f>
        <v>1574659</v>
      </c>
      <c r="G946" t="s">
        <v>1623</v>
      </c>
      <c r="H946" t="s">
        <v>1631</v>
      </c>
      <c r="I946" t="s">
        <v>1632</v>
      </c>
      <c r="J946" t="str">
        <f t="shared" si="109"/>
        <v>081202</v>
      </c>
      <c r="K946" t="s">
        <v>22</v>
      </c>
      <c r="L946" t="s">
        <v>23</v>
      </c>
      <c r="M946" t="str">
        <f t="shared" si="108"/>
        <v>1</v>
      </c>
      <c r="O946" t="str">
        <f t="shared" si="110"/>
        <v xml:space="preserve">1 </v>
      </c>
      <c r="P946">
        <v>65.599999999999994</v>
      </c>
      <c r="Q946" t="s">
        <v>24</v>
      </c>
    </row>
    <row r="947" spans="1:17" x14ac:dyDescent="0.25">
      <c r="A947" t="s">
        <v>17</v>
      </c>
      <c r="B947" s="1">
        <v>41718</v>
      </c>
      <c r="C947" t="s">
        <v>289</v>
      </c>
      <c r="D947" t="str">
        <f>CONCATENATE("0060011585","")</f>
        <v>0060011585</v>
      </c>
      <c r="E947" t="str">
        <f>CONCATENATE("0120790000415       ","")</f>
        <v xml:space="preserve">0120790000415       </v>
      </c>
      <c r="F947" t="str">
        <f>CONCATENATE("605112833","")</f>
        <v>605112833</v>
      </c>
      <c r="G947" t="s">
        <v>1633</v>
      </c>
      <c r="H947" t="s">
        <v>1634</v>
      </c>
      <c r="I947" t="s">
        <v>1635</v>
      </c>
      <c r="J947" t="str">
        <f t="shared" si="109"/>
        <v>081202</v>
      </c>
      <c r="K947" t="s">
        <v>22</v>
      </c>
      <c r="L947" t="s">
        <v>23</v>
      </c>
      <c r="M947" t="str">
        <f t="shared" si="108"/>
        <v>1</v>
      </c>
      <c r="O947" t="str">
        <f>CONCATENATE("2 ","")</f>
        <v xml:space="preserve">2 </v>
      </c>
      <c r="P947">
        <v>15.8</v>
      </c>
      <c r="Q947" t="s">
        <v>24</v>
      </c>
    </row>
    <row r="948" spans="1:17" x14ac:dyDescent="0.25">
      <c r="A948" t="s">
        <v>17</v>
      </c>
      <c r="B948" s="1">
        <v>41718</v>
      </c>
      <c r="C948" t="s">
        <v>98</v>
      </c>
      <c r="D948" t="str">
        <f>CONCATENATE("0060006125","")</f>
        <v>0060006125</v>
      </c>
      <c r="E948" t="str">
        <f>CONCATENATE("0121001000610       ","")</f>
        <v xml:space="preserve">0121001000610       </v>
      </c>
      <c r="F948" t="str">
        <f>CONCATENATE("1870653","")</f>
        <v>1870653</v>
      </c>
      <c r="G948" t="s">
        <v>1636</v>
      </c>
      <c r="H948" t="s">
        <v>1637</v>
      </c>
      <c r="I948" t="s">
        <v>1638</v>
      </c>
      <c r="J948" t="str">
        <f t="shared" ref="J948:J979" si="111">CONCATENATE("081211","")</f>
        <v>081211</v>
      </c>
      <c r="K948" t="s">
        <v>22</v>
      </c>
      <c r="L948" t="s">
        <v>23</v>
      </c>
      <c r="M948" t="str">
        <f t="shared" si="108"/>
        <v>1</v>
      </c>
      <c r="O948" t="str">
        <f t="shared" ref="O948:O960" si="112">CONCATENATE("1 ","")</f>
        <v xml:space="preserve">1 </v>
      </c>
      <c r="P948">
        <v>45.5</v>
      </c>
      <c r="Q948" t="s">
        <v>24</v>
      </c>
    </row>
    <row r="949" spans="1:17" x14ac:dyDescent="0.25">
      <c r="A949" t="s">
        <v>17</v>
      </c>
      <c r="B949" s="1">
        <v>41718</v>
      </c>
      <c r="C949" t="s">
        <v>98</v>
      </c>
      <c r="D949" t="str">
        <f>CONCATENATE("0060018126","")</f>
        <v>0060018126</v>
      </c>
      <c r="E949" t="str">
        <f>CONCATENATE("0121001000826       ","")</f>
        <v xml:space="preserve">0121001000826       </v>
      </c>
      <c r="F949" t="str">
        <f>CONCATENATE("2186961","")</f>
        <v>2186961</v>
      </c>
      <c r="G949" t="s">
        <v>1636</v>
      </c>
      <c r="H949" t="s">
        <v>1639</v>
      </c>
      <c r="I949" t="s">
        <v>1640</v>
      </c>
      <c r="J949" t="str">
        <f t="shared" si="111"/>
        <v>081211</v>
      </c>
      <c r="K949" t="s">
        <v>22</v>
      </c>
      <c r="L949" t="s">
        <v>23</v>
      </c>
      <c r="M949" t="str">
        <f t="shared" si="108"/>
        <v>1</v>
      </c>
      <c r="O949" t="str">
        <f t="shared" si="112"/>
        <v xml:space="preserve">1 </v>
      </c>
      <c r="P949">
        <v>30.65</v>
      </c>
      <c r="Q949" t="s">
        <v>24</v>
      </c>
    </row>
    <row r="950" spans="1:17" x14ac:dyDescent="0.25">
      <c r="A950" t="s">
        <v>17</v>
      </c>
      <c r="B950" s="1">
        <v>41718</v>
      </c>
      <c r="C950" t="s">
        <v>98</v>
      </c>
      <c r="D950" t="str">
        <f>CONCATENATE("0060009099","")</f>
        <v>0060009099</v>
      </c>
      <c r="E950" t="str">
        <f>CONCATENATE("0121001000893       ","")</f>
        <v xml:space="preserve">0121001000893       </v>
      </c>
      <c r="F950" t="str">
        <f>CONCATENATE("00188961","")</f>
        <v>00188961</v>
      </c>
      <c r="G950" t="s">
        <v>1636</v>
      </c>
      <c r="H950" t="s">
        <v>1641</v>
      </c>
      <c r="I950" t="s">
        <v>1642</v>
      </c>
      <c r="J950" t="str">
        <f t="shared" si="111"/>
        <v>081211</v>
      </c>
      <c r="K950" t="s">
        <v>22</v>
      </c>
      <c r="L950" t="s">
        <v>23</v>
      </c>
      <c r="M950" t="str">
        <f t="shared" si="108"/>
        <v>1</v>
      </c>
      <c r="O950" t="str">
        <f t="shared" si="112"/>
        <v xml:space="preserve">1 </v>
      </c>
      <c r="P950">
        <v>114.65</v>
      </c>
      <c r="Q950" t="s">
        <v>24</v>
      </c>
    </row>
    <row r="951" spans="1:17" x14ac:dyDescent="0.25">
      <c r="A951" t="s">
        <v>17</v>
      </c>
      <c r="B951" s="1">
        <v>41718</v>
      </c>
      <c r="C951" t="s">
        <v>98</v>
      </c>
      <c r="D951" t="str">
        <f>CONCATENATE("0060006168","")</f>
        <v>0060006168</v>
      </c>
      <c r="E951" t="str">
        <f>CONCATENATE("0121001000923       ","")</f>
        <v xml:space="preserve">0121001000923       </v>
      </c>
      <c r="F951" t="str">
        <f>CONCATENATE("00031002687","")</f>
        <v>00031002687</v>
      </c>
      <c r="G951" t="s">
        <v>1636</v>
      </c>
      <c r="H951" t="s">
        <v>1643</v>
      </c>
      <c r="I951" t="s">
        <v>1644</v>
      </c>
      <c r="J951" t="str">
        <f t="shared" si="111"/>
        <v>081211</v>
      </c>
      <c r="K951" t="s">
        <v>22</v>
      </c>
      <c r="L951" t="s">
        <v>23</v>
      </c>
      <c r="M951" t="str">
        <f>CONCATENATE("3","")</f>
        <v>3</v>
      </c>
      <c r="O951" t="str">
        <f t="shared" si="112"/>
        <v xml:space="preserve">1 </v>
      </c>
      <c r="P951">
        <v>218.6</v>
      </c>
      <c r="Q951" t="s">
        <v>28</v>
      </c>
    </row>
    <row r="952" spans="1:17" x14ac:dyDescent="0.25">
      <c r="A952" t="s">
        <v>17</v>
      </c>
      <c r="B952" s="1">
        <v>41718</v>
      </c>
      <c r="C952" t="s">
        <v>98</v>
      </c>
      <c r="D952" t="str">
        <f>CONCATENATE("0060015345","")</f>
        <v>0060015345</v>
      </c>
      <c r="E952" t="str">
        <f>CONCATENATE("0121001001031       ","")</f>
        <v xml:space="preserve">0121001001031       </v>
      </c>
      <c r="F952" t="str">
        <f>CONCATENATE("605879581","")</f>
        <v>605879581</v>
      </c>
      <c r="G952" t="s">
        <v>1636</v>
      </c>
      <c r="H952" t="s">
        <v>1645</v>
      </c>
      <c r="I952" t="s">
        <v>1646</v>
      </c>
      <c r="J952" t="str">
        <f t="shared" si="111"/>
        <v>081211</v>
      </c>
      <c r="K952" t="s">
        <v>22</v>
      </c>
      <c r="L952" t="s">
        <v>23</v>
      </c>
      <c r="M952" t="str">
        <f>CONCATENATE("1","")</f>
        <v>1</v>
      </c>
      <c r="O952" t="str">
        <f t="shared" si="112"/>
        <v xml:space="preserve">1 </v>
      </c>
      <c r="P952">
        <v>64.349999999999994</v>
      </c>
      <c r="Q952" t="s">
        <v>24</v>
      </c>
    </row>
    <row r="953" spans="1:17" x14ac:dyDescent="0.25">
      <c r="A953" t="s">
        <v>17</v>
      </c>
      <c r="B953" s="1">
        <v>41718</v>
      </c>
      <c r="C953" t="s">
        <v>98</v>
      </c>
      <c r="D953" t="str">
        <f>CONCATENATE("0060010744","")</f>
        <v>0060010744</v>
      </c>
      <c r="E953" t="str">
        <f>CONCATENATE("0121001001075       ","")</f>
        <v xml:space="preserve">0121001001075       </v>
      </c>
      <c r="F953" t="str">
        <f>CONCATENATE("1068393","")</f>
        <v>1068393</v>
      </c>
      <c r="G953" t="s">
        <v>1636</v>
      </c>
      <c r="H953" t="s">
        <v>1647</v>
      </c>
      <c r="I953" t="s">
        <v>1648</v>
      </c>
      <c r="J953" t="str">
        <f t="shared" si="111"/>
        <v>081211</v>
      </c>
      <c r="K953" t="s">
        <v>22</v>
      </c>
      <c r="L953" t="s">
        <v>23</v>
      </c>
      <c r="M953" t="str">
        <f>CONCATENATE("1","")</f>
        <v>1</v>
      </c>
      <c r="O953" t="str">
        <f t="shared" si="112"/>
        <v xml:space="preserve">1 </v>
      </c>
      <c r="P953">
        <v>13.55</v>
      </c>
      <c r="Q953" t="s">
        <v>24</v>
      </c>
    </row>
    <row r="954" spans="1:17" x14ac:dyDescent="0.25">
      <c r="A954" t="s">
        <v>17</v>
      </c>
      <c r="B954" s="1">
        <v>41718</v>
      </c>
      <c r="C954" t="s">
        <v>98</v>
      </c>
      <c r="D954" t="str">
        <f>CONCATENATE("0060006197","")</f>
        <v>0060006197</v>
      </c>
      <c r="E954" t="str">
        <f>CONCATENATE("0121001001105       ","")</f>
        <v xml:space="preserve">0121001001105       </v>
      </c>
      <c r="F954" t="str">
        <f>CONCATENATE("0565230","")</f>
        <v>0565230</v>
      </c>
      <c r="G954" t="s">
        <v>1636</v>
      </c>
      <c r="H954" t="s">
        <v>1649</v>
      </c>
      <c r="I954" t="s">
        <v>1650</v>
      </c>
      <c r="J954" t="str">
        <f t="shared" si="111"/>
        <v>081211</v>
      </c>
      <c r="K954" t="s">
        <v>22</v>
      </c>
      <c r="L954" t="s">
        <v>23</v>
      </c>
      <c r="M954" t="str">
        <f>CONCATENATE("3","")</f>
        <v>3</v>
      </c>
      <c r="O954" t="str">
        <f t="shared" si="112"/>
        <v xml:space="preserve">1 </v>
      </c>
      <c r="P954">
        <v>115.65</v>
      </c>
      <c r="Q954" t="s">
        <v>28</v>
      </c>
    </row>
    <row r="955" spans="1:17" x14ac:dyDescent="0.25">
      <c r="A955" t="s">
        <v>17</v>
      </c>
      <c r="B955" s="1">
        <v>41718</v>
      </c>
      <c r="C955" t="s">
        <v>98</v>
      </c>
      <c r="D955" t="str">
        <f>CONCATENATE("0060009028","")</f>
        <v>0060009028</v>
      </c>
      <c r="E955" t="str">
        <f>CONCATENATE("0121001001145       ","")</f>
        <v xml:space="preserve">0121001001145       </v>
      </c>
      <c r="F955" t="str">
        <f>CONCATENATE("605943804","")</f>
        <v>605943804</v>
      </c>
      <c r="G955" t="s">
        <v>1636</v>
      </c>
      <c r="H955" t="s">
        <v>1651</v>
      </c>
      <c r="I955" t="s">
        <v>1652</v>
      </c>
      <c r="J955" t="str">
        <f t="shared" si="111"/>
        <v>081211</v>
      </c>
      <c r="K955" t="s">
        <v>22</v>
      </c>
      <c r="L955" t="s">
        <v>23</v>
      </c>
      <c r="M955" t="str">
        <f t="shared" ref="M955:M962" si="113">CONCATENATE("1","")</f>
        <v>1</v>
      </c>
      <c r="O955" t="str">
        <f t="shared" si="112"/>
        <v xml:space="preserve">1 </v>
      </c>
      <c r="P955">
        <v>83.7</v>
      </c>
      <c r="Q955" t="s">
        <v>24</v>
      </c>
    </row>
    <row r="956" spans="1:17" x14ac:dyDescent="0.25">
      <c r="A956" t="s">
        <v>17</v>
      </c>
      <c r="B956" s="1">
        <v>41718</v>
      </c>
      <c r="C956" t="s">
        <v>98</v>
      </c>
      <c r="D956" t="str">
        <f>CONCATENATE("0060006213","")</f>
        <v>0060006213</v>
      </c>
      <c r="E956" t="str">
        <f>CONCATENATE("0121001001180       ","")</f>
        <v xml:space="preserve">0121001001180       </v>
      </c>
      <c r="F956" t="str">
        <f>CONCATENATE("1865887","")</f>
        <v>1865887</v>
      </c>
      <c r="G956" t="s">
        <v>1636</v>
      </c>
      <c r="H956" t="s">
        <v>1653</v>
      </c>
      <c r="I956" t="s">
        <v>1654</v>
      </c>
      <c r="J956" t="str">
        <f t="shared" si="111"/>
        <v>081211</v>
      </c>
      <c r="K956" t="s">
        <v>22</v>
      </c>
      <c r="L956" t="s">
        <v>23</v>
      </c>
      <c r="M956" t="str">
        <f t="shared" si="113"/>
        <v>1</v>
      </c>
      <c r="O956" t="str">
        <f t="shared" si="112"/>
        <v xml:space="preserve">1 </v>
      </c>
      <c r="P956">
        <v>69</v>
      </c>
      <c r="Q956" t="s">
        <v>24</v>
      </c>
    </row>
    <row r="957" spans="1:17" x14ac:dyDescent="0.25">
      <c r="A957" t="s">
        <v>17</v>
      </c>
      <c r="B957" s="1">
        <v>41718</v>
      </c>
      <c r="C957" t="s">
        <v>98</v>
      </c>
      <c r="D957" t="str">
        <f>CONCATENATE("0060006655","")</f>
        <v>0060006655</v>
      </c>
      <c r="E957" t="str">
        <f>CONCATENATE("0121001001207       ","")</f>
        <v xml:space="preserve">0121001001207       </v>
      </c>
      <c r="F957" t="str">
        <f>CONCATENATE("1944790","")</f>
        <v>1944790</v>
      </c>
      <c r="G957" t="s">
        <v>1636</v>
      </c>
      <c r="H957" t="s">
        <v>1655</v>
      </c>
      <c r="I957" t="s">
        <v>1654</v>
      </c>
      <c r="J957" t="str">
        <f t="shared" si="111"/>
        <v>081211</v>
      </c>
      <c r="K957" t="s">
        <v>22</v>
      </c>
      <c r="L957" t="s">
        <v>23</v>
      </c>
      <c r="M957" t="str">
        <f t="shared" si="113"/>
        <v>1</v>
      </c>
      <c r="O957" t="str">
        <f t="shared" si="112"/>
        <v xml:space="preserve">1 </v>
      </c>
      <c r="P957">
        <v>132.30000000000001</v>
      </c>
      <c r="Q957" t="s">
        <v>24</v>
      </c>
    </row>
    <row r="958" spans="1:17" x14ac:dyDescent="0.25">
      <c r="A958" t="s">
        <v>17</v>
      </c>
      <c r="B958" s="1">
        <v>41718</v>
      </c>
      <c r="C958" t="s">
        <v>98</v>
      </c>
      <c r="D958" t="str">
        <f>CONCATENATE("0060014372","")</f>
        <v>0060014372</v>
      </c>
      <c r="E958" t="str">
        <f>CONCATENATE("0121001001263       ","")</f>
        <v xml:space="preserve">0121001001263       </v>
      </c>
      <c r="F958" t="str">
        <f>CONCATENATE("605630636","")</f>
        <v>605630636</v>
      </c>
      <c r="G958" t="s">
        <v>1636</v>
      </c>
      <c r="H958" t="s">
        <v>1656</v>
      </c>
      <c r="I958" t="s">
        <v>1657</v>
      </c>
      <c r="J958" t="str">
        <f t="shared" si="111"/>
        <v>081211</v>
      </c>
      <c r="K958" t="s">
        <v>22</v>
      </c>
      <c r="L958" t="s">
        <v>23</v>
      </c>
      <c r="M958" t="str">
        <f t="shared" si="113"/>
        <v>1</v>
      </c>
      <c r="O958" t="str">
        <f t="shared" si="112"/>
        <v xml:space="preserve">1 </v>
      </c>
      <c r="P958">
        <v>25.35</v>
      </c>
      <c r="Q958" t="s">
        <v>24</v>
      </c>
    </row>
    <row r="959" spans="1:17" x14ac:dyDescent="0.25">
      <c r="A959" t="s">
        <v>17</v>
      </c>
      <c r="B959" s="1">
        <v>41718</v>
      </c>
      <c r="C959" t="s">
        <v>98</v>
      </c>
      <c r="D959" t="str">
        <f>CONCATENATE("0060006298","")</f>
        <v>0060006298</v>
      </c>
      <c r="E959" t="str">
        <f>CONCATENATE("0121001001805       ","")</f>
        <v xml:space="preserve">0121001001805       </v>
      </c>
      <c r="F959" t="str">
        <f>CONCATENATE("1940246","")</f>
        <v>1940246</v>
      </c>
      <c r="G959" t="s">
        <v>1636</v>
      </c>
      <c r="H959" t="s">
        <v>1658</v>
      </c>
      <c r="I959" t="s">
        <v>1659</v>
      </c>
      <c r="J959" t="str">
        <f t="shared" si="111"/>
        <v>081211</v>
      </c>
      <c r="K959" t="s">
        <v>22</v>
      </c>
      <c r="L959" t="s">
        <v>23</v>
      </c>
      <c r="M959" t="str">
        <f t="shared" si="113"/>
        <v>1</v>
      </c>
      <c r="O959" t="str">
        <f t="shared" si="112"/>
        <v xml:space="preserve">1 </v>
      </c>
      <c r="P959">
        <v>99.15</v>
      </c>
      <c r="Q959" t="s">
        <v>24</v>
      </c>
    </row>
    <row r="960" spans="1:17" x14ac:dyDescent="0.25">
      <c r="A960" t="s">
        <v>17</v>
      </c>
      <c r="B960" s="1">
        <v>41718</v>
      </c>
      <c r="C960" t="s">
        <v>98</v>
      </c>
      <c r="D960" t="str">
        <f>CONCATENATE("0060008947","")</f>
        <v>0060008947</v>
      </c>
      <c r="E960" t="str">
        <f>CONCATENATE("0121001001952       ","")</f>
        <v xml:space="preserve">0121001001952       </v>
      </c>
      <c r="F960" t="str">
        <f>CONCATENATE("605750698","")</f>
        <v>605750698</v>
      </c>
      <c r="G960" t="s">
        <v>1636</v>
      </c>
      <c r="H960" t="s">
        <v>1660</v>
      </c>
      <c r="I960" t="s">
        <v>1661</v>
      </c>
      <c r="J960" t="str">
        <f t="shared" si="111"/>
        <v>081211</v>
      </c>
      <c r="K960" t="s">
        <v>22</v>
      </c>
      <c r="L960" t="s">
        <v>23</v>
      </c>
      <c r="M960" t="str">
        <f t="shared" si="113"/>
        <v>1</v>
      </c>
      <c r="O960" t="str">
        <f t="shared" si="112"/>
        <v xml:space="preserve">1 </v>
      </c>
      <c r="P960">
        <v>21.35</v>
      </c>
      <c r="Q960" t="s">
        <v>24</v>
      </c>
    </row>
    <row r="961" spans="1:17" x14ac:dyDescent="0.25">
      <c r="A961" t="s">
        <v>17</v>
      </c>
      <c r="B961" s="1">
        <v>41718</v>
      </c>
      <c r="C961" t="s">
        <v>98</v>
      </c>
      <c r="D961" t="str">
        <f>CONCATENATE("0060006362","")</f>
        <v>0060006362</v>
      </c>
      <c r="E961" t="str">
        <f>CONCATENATE("0121002000260       ","")</f>
        <v xml:space="preserve">0121002000260       </v>
      </c>
      <c r="F961" t="str">
        <f>CONCATENATE("2127853","")</f>
        <v>2127853</v>
      </c>
      <c r="G961" t="s">
        <v>1662</v>
      </c>
      <c r="H961" t="s">
        <v>1663</v>
      </c>
      <c r="I961" t="s">
        <v>1664</v>
      </c>
      <c r="J961" t="str">
        <f t="shared" si="111"/>
        <v>081211</v>
      </c>
      <c r="K961" t="s">
        <v>22</v>
      </c>
      <c r="L961" t="s">
        <v>23</v>
      </c>
      <c r="M961" t="str">
        <f t="shared" si="113"/>
        <v>1</v>
      </c>
      <c r="O961" t="str">
        <f>CONCATENATE("7 ","")</f>
        <v xml:space="preserve">7 </v>
      </c>
      <c r="P961">
        <v>44.1</v>
      </c>
      <c r="Q961" t="s">
        <v>24</v>
      </c>
    </row>
    <row r="962" spans="1:17" x14ac:dyDescent="0.25">
      <c r="A962" t="s">
        <v>17</v>
      </c>
      <c r="B962" s="1">
        <v>41718</v>
      </c>
      <c r="C962" t="s">
        <v>98</v>
      </c>
      <c r="D962" t="str">
        <f>CONCATENATE("0060006374","")</f>
        <v>0060006374</v>
      </c>
      <c r="E962" t="str">
        <f>CONCATENATE("0121002000365       ","")</f>
        <v xml:space="preserve">0121002000365       </v>
      </c>
      <c r="F962" t="str">
        <f>CONCATENATE("1940248","")</f>
        <v>1940248</v>
      </c>
      <c r="G962" t="s">
        <v>1662</v>
      </c>
      <c r="H962" t="s">
        <v>1665</v>
      </c>
      <c r="I962" t="s">
        <v>1666</v>
      </c>
      <c r="J962" t="str">
        <f t="shared" si="111"/>
        <v>081211</v>
      </c>
      <c r="K962" t="s">
        <v>22</v>
      </c>
      <c r="L962" t="s">
        <v>23</v>
      </c>
      <c r="M962" t="str">
        <f t="shared" si="113"/>
        <v>1</v>
      </c>
      <c r="O962" t="str">
        <f t="shared" ref="O962:O1004" si="114">CONCATENATE("1 ","")</f>
        <v xml:space="preserve">1 </v>
      </c>
      <c r="P962">
        <v>116.6</v>
      </c>
      <c r="Q962" t="s">
        <v>24</v>
      </c>
    </row>
    <row r="963" spans="1:17" x14ac:dyDescent="0.25">
      <c r="A963" t="s">
        <v>17</v>
      </c>
      <c r="B963" s="1">
        <v>41718</v>
      </c>
      <c r="C963" t="s">
        <v>98</v>
      </c>
      <c r="D963" t="str">
        <f>CONCATENATE("0060006378","")</f>
        <v>0060006378</v>
      </c>
      <c r="E963" t="str">
        <f>CONCATENATE("0121002000395       ","")</f>
        <v xml:space="preserve">0121002000395       </v>
      </c>
      <c r="F963" t="str">
        <f>CONCATENATE("507029827","")</f>
        <v>507029827</v>
      </c>
      <c r="G963" t="s">
        <v>1662</v>
      </c>
      <c r="H963" t="s">
        <v>1667</v>
      </c>
      <c r="I963" t="s">
        <v>1668</v>
      </c>
      <c r="J963" t="str">
        <f t="shared" si="111"/>
        <v>081211</v>
      </c>
      <c r="K963" t="s">
        <v>22</v>
      </c>
      <c r="L963" t="s">
        <v>23</v>
      </c>
      <c r="M963" t="str">
        <f>CONCATENATE("3","")</f>
        <v>3</v>
      </c>
      <c r="O963" t="str">
        <f t="shared" si="114"/>
        <v xml:space="preserve">1 </v>
      </c>
      <c r="P963">
        <v>254.65</v>
      </c>
      <c r="Q963" t="s">
        <v>28</v>
      </c>
    </row>
    <row r="964" spans="1:17" x14ac:dyDescent="0.25">
      <c r="A964" t="s">
        <v>17</v>
      </c>
      <c r="B964" s="1">
        <v>41718</v>
      </c>
      <c r="C964" t="s">
        <v>98</v>
      </c>
      <c r="D964" t="str">
        <f>CONCATENATE("0060006384","")</f>
        <v>0060006384</v>
      </c>
      <c r="E964" t="str">
        <f>CONCATENATE("0121002000430       ","")</f>
        <v xml:space="preserve">0121002000430       </v>
      </c>
      <c r="F964" t="str">
        <f>CONCATENATE("2173513","")</f>
        <v>2173513</v>
      </c>
      <c r="G964" t="s">
        <v>1662</v>
      </c>
      <c r="H964" t="s">
        <v>1669</v>
      </c>
      <c r="I964" t="s">
        <v>1670</v>
      </c>
      <c r="J964" t="str">
        <f t="shared" si="111"/>
        <v>081211</v>
      </c>
      <c r="K964" t="s">
        <v>22</v>
      </c>
      <c r="L964" t="s">
        <v>23</v>
      </c>
      <c r="M964" t="str">
        <f>CONCATENATE("1","")</f>
        <v>1</v>
      </c>
      <c r="O964" t="str">
        <f t="shared" si="114"/>
        <v xml:space="preserve">1 </v>
      </c>
      <c r="P964">
        <v>23.6</v>
      </c>
      <c r="Q964" t="s">
        <v>24</v>
      </c>
    </row>
    <row r="965" spans="1:17" x14ac:dyDescent="0.25">
      <c r="A965" t="s">
        <v>17</v>
      </c>
      <c r="B965" s="1">
        <v>41718</v>
      </c>
      <c r="C965" t="s">
        <v>98</v>
      </c>
      <c r="D965" t="str">
        <f>CONCATENATE("0060006477","")</f>
        <v>0060006477</v>
      </c>
      <c r="E965" t="str">
        <f>CONCATENATE("0121002001019       ","")</f>
        <v xml:space="preserve">0121002001019       </v>
      </c>
      <c r="F965" t="str">
        <f>CONCATENATE("00002735042","")</f>
        <v>00002735042</v>
      </c>
      <c r="G965" t="s">
        <v>1662</v>
      </c>
      <c r="H965" t="s">
        <v>1671</v>
      </c>
      <c r="I965" t="s">
        <v>1672</v>
      </c>
      <c r="J965" t="str">
        <f t="shared" si="111"/>
        <v>081211</v>
      </c>
      <c r="K965" t="s">
        <v>22</v>
      </c>
      <c r="L965" t="s">
        <v>23</v>
      </c>
      <c r="M965" t="str">
        <f>CONCATENATE("1","")</f>
        <v>1</v>
      </c>
      <c r="O965" t="str">
        <f t="shared" si="114"/>
        <v xml:space="preserve">1 </v>
      </c>
      <c r="P965">
        <v>104.9</v>
      </c>
      <c r="Q965" t="s">
        <v>24</v>
      </c>
    </row>
    <row r="966" spans="1:17" x14ac:dyDescent="0.25">
      <c r="A966" t="s">
        <v>17</v>
      </c>
      <c r="B966" s="1">
        <v>41718</v>
      </c>
      <c r="C966" t="s">
        <v>98</v>
      </c>
      <c r="D966" t="str">
        <f>CONCATENATE("0060006495","")</f>
        <v>0060006495</v>
      </c>
      <c r="E966" t="str">
        <f>CONCATENATE("0121002001067       ","")</f>
        <v xml:space="preserve">0121002001067       </v>
      </c>
      <c r="F966" t="str">
        <f>CONCATENATE("1099470","")</f>
        <v>1099470</v>
      </c>
      <c r="G966" t="s">
        <v>1662</v>
      </c>
      <c r="H966" t="s">
        <v>1673</v>
      </c>
      <c r="I966" t="s">
        <v>1674</v>
      </c>
      <c r="J966" t="str">
        <f t="shared" si="111"/>
        <v>081211</v>
      </c>
      <c r="K966" t="s">
        <v>22</v>
      </c>
      <c r="L966" t="s">
        <v>23</v>
      </c>
      <c r="M966" t="str">
        <f>CONCATENATE("1","")</f>
        <v>1</v>
      </c>
      <c r="O966" t="str">
        <f t="shared" si="114"/>
        <v xml:space="preserve">1 </v>
      </c>
      <c r="P966">
        <v>25.4</v>
      </c>
      <c r="Q966" t="s">
        <v>24</v>
      </c>
    </row>
    <row r="967" spans="1:17" x14ac:dyDescent="0.25">
      <c r="A967" t="s">
        <v>17</v>
      </c>
      <c r="B967" s="1">
        <v>41718</v>
      </c>
      <c r="C967" t="s">
        <v>98</v>
      </c>
      <c r="D967" t="str">
        <f>CONCATENATE("0060006514","")</f>
        <v>0060006514</v>
      </c>
      <c r="E967" t="str">
        <f>CONCATENATE("0121002001215       ","")</f>
        <v xml:space="preserve">0121002001215       </v>
      </c>
      <c r="F967" t="str">
        <f>CONCATENATE("1865797","")</f>
        <v>1865797</v>
      </c>
      <c r="G967" t="s">
        <v>1662</v>
      </c>
      <c r="H967" t="s">
        <v>1675</v>
      </c>
      <c r="I967" t="s">
        <v>1676</v>
      </c>
      <c r="J967" t="str">
        <f t="shared" si="111"/>
        <v>081211</v>
      </c>
      <c r="K967" t="s">
        <v>22</v>
      </c>
      <c r="L967" t="s">
        <v>23</v>
      </c>
      <c r="M967" t="str">
        <f>CONCATENATE("1","")</f>
        <v>1</v>
      </c>
      <c r="O967" t="str">
        <f t="shared" si="114"/>
        <v xml:space="preserve">1 </v>
      </c>
      <c r="P967">
        <v>12.9</v>
      </c>
      <c r="Q967" t="s">
        <v>24</v>
      </c>
    </row>
    <row r="968" spans="1:17" x14ac:dyDescent="0.25">
      <c r="A968" t="s">
        <v>17</v>
      </c>
      <c r="B968" s="1">
        <v>41718</v>
      </c>
      <c r="C968" t="s">
        <v>98</v>
      </c>
      <c r="D968" t="str">
        <f>CONCATENATE("0060006569","")</f>
        <v>0060006569</v>
      </c>
      <c r="E968" t="str">
        <f>CONCATENATE("0121002001610       ","")</f>
        <v xml:space="preserve">0121002001610       </v>
      </c>
      <c r="F968" t="str">
        <f>CONCATENATE("2174877","")</f>
        <v>2174877</v>
      </c>
      <c r="G968" t="s">
        <v>1662</v>
      </c>
      <c r="H968" t="s">
        <v>1677</v>
      </c>
      <c r="I968" t="s">
        <v>1678</v>
      </c>
      <c r="J968" t="str">
        <f t="shared" si="111"/>
        <v>081211</v>
      </c>
      <c r="K968" t="s">
        <v>22</v>
      </c>
      <c r="L968" t="s">
        <v>23</v>
      </c>
      <c r="M968" t="str">
        <f>CONCATENATE("1","")</f>
        <v>1</v>
      </c>
      <c r="O968" t="str">
        <f t="shared" si="114"/>
        <v xml:space="preserve">1 </v>
      </c>
      <c r="P968">
        <v>66.5</v>
      </c>
      <c r="Q968" t="s">
        <v>24</v>
      </c>
    </row>
    <row r="969" spans="1:17" x14ac:dyDescent="0.25">
      <c r="A969" t="s">
        <v>17</v>
      </c>
      <c r="B969" s="1">
        <v>41718</v>
      </c>
      <c r="C969" t="s">
        <v>98</v>
      </c>
      <c r="D969" t="str">
        <f>CONCATENATE("0060015551","")</f>
        <v>0060015551</v>
      </c>
      <c r="E969" t="str">
        <f>CONCATENATE("0121003000260       ","")</f>
        <v xml:space="preserve">0121003000260       </v>
      </c>
      <c r="F969" t="str">
        <f>CONCATENATE("507008230","")</f>
        <v>507008230</v>
      </c>
      <c r="G969" t="s">
        <v>1679</v>
      </c>
      <c r="H969" t="s">
        <v>1680</v>
      </c>
      <c r="I969" t="s">
        <v>1681</v>
      </c>
      <c r="J969" t="str">
        <f t="shared" si="111"/>
        <v>081211</v>
      </c>
      <c r="K969" t="s">
        <v>22</v>
      </c>
      <c r="L969" t="s">
        <v>23</v>
      </c>
      <c r="M969" t="str">
        <f>CONCATENATE("3","")</f>
        <v>3</v>
      </c>
      <c r="O969" t="str">
        <f t="shared" si="114"/>
        <v xml:space="preserve">1 </v>
      </c>
      <c r="P969">
        <v>20.95</v>
      </c>
      <c r="Q969" t="s">
        <v>28</v>
      </c>
    </row>
    <row r="970" spans="1:17" x14ac:dyDescent="0.25">
      <c r="A970" t="s">
        <v>17</v>
      </c>
      <c r="B970" s="1">
        <v>41718</v>
      </c>
      <c r="C970" t="s">
        <v>98</v>
      </c>
      <c r="D970" t="str">
        <f>CONCATENATE("0060019137","")</f>
        <v>0060019137</v>
      </c>
      <c r="E970" t="str">
        <f>CONCATENATE("0121003001560       ","")</f>
        <v xml:space="preserve">0121003001560       </v>
      </c>
      <c r="F970" t="str">
        <f>CONCATENATE("1680025","")</f>
        <v>1680025</v>
      </c>
      <c r="G970" t="s">
        <v>1679</v>
      </c>
      <c r="H970" t="s">
        <v>1682</v>
      </c>
      <c r="I970" t="s">
        <v>1683</v>
      </c>
      <c r="J970" t="str">
        <f t="shared" si="111"/>
        <v>081211</v>
      </c>
      <c r="K970" t="s">
        <v>22</v>
      </c>
      <c r="L970" t="s">
        <v>23</v>
      </c>
      <c r="M970" t="str">
        <f>CONCATENATE("3","")</f>
        <v>3</v>
      </c>
      <c r="O970" t="str">
        <f t="shared" si="114"/>
        <v xml:space="preserve">1 </v>
      </c>
      <c r="P970">
        <v>52.55</v>
      </c>
      <c r="Q970" t="s">
        <v>28</v>
      </c>
    </row>
    <row r="971" spans="1:17" x14ac:dyDescent="0.25">
      <c r="A971" t="s">
        <v>17</v>
      </c>
      <c r="B971" s="1">
        <v>41718</v>
      </c>
      <c r="C971" t="s">
        <v>98</v>
      </c>
      <c r="D971" t="str">
        <f>CONCATENATE("0060011470","")</f>
        <v>0060011470</v>
      </c>
      <c r="E971" t="str">
        <f>CONCATENATE("0121003002170       ","")</f>
        <v xml:space="preserve">0121003002170       </v>
      </c>
      <c r="F971" t="str">
        <f>CONCATENATE("01116863","")</f>
        <v>01116863</v>
      </c>
      <c r="G971" t="s">
        <v>1679</v>
      </c>
      <c r="H971" t="s">
        <v>1684</v>
      </c>
      <c r="I971" t="s">
        <v>1685</v>
      </c>
      <c r="J971" t="str">
        <f t="shared" si="111"/>
        <v>081211</v>
      </c>
      <c r="K971" t="s">
        <v>22</v>
      </c>
      <c r="L971" t="s">
        <v>23</v>
      </c>
      <c r="M971" t="str">
        <f t="shared" ref="M971:M989" si="115">CONCATENATE("1","")</f>
        <v>1</v>
      </c>
      <c r="O971" t="str">
        <f t="shared" si="114"/>
        <v xml:space="preserve">1 </v>
      </c>
      <c r="P971">
        <v>51.05</v>
      </c>
      <c r="Q971" t="s">
        <v>24</v>
      </c>
    </row>
    <row r="972" spans="1:17" x14ac:dyDescent="0.25">
      <c r="A972" t="s">
        <v>17</v>
      </c>
      <c r="B972" s="1">
        <v>41718</v>
      </c>
      <c r="C972" t="s">
        <v>98</v>
      </c>
      <c r="D972" t="str">
        <f>CONCATENATE("0060017033","")</f>
        <v>0060017033</v>
      </c>
      <c r="E972" t="str">
        <f>CONCATENATE("0121003002620       ","")</f>
        <v xml:space="preserve">0121003002620       </v>
      </c>
      <c r="F972" t="str">
        <f>CONCATENATE("2150816","")</f>
        <v>2150816</v>
      </c>
      <c r="G972" t="s">
        <v>1679</v>
      </c>
      <c r="H972" t="s">
        <v>1686</v>
      </c>
      <c r="I972" t="s">
        <v>1687</v>
      </c>
      <c r="J972" t="str">
        <f t="shared" si="111"/>
        <v>081211</v>
      </c>
      <c r="K972" t="s">
        <v>22</v>
      </c>
      <c r="L972" t="s">
        <v>23</v>
      </c>
      <c r="M972" t="str">
        <f t="shared" si="115"/>
        <v>1</v>
      </c>
      <c r="O972" t="str">
        <f t="shared" si="114"/>
        <v xml:space="preserve">1 </v>
      </c>
      <c r="P972">
        <v>82.45</v>
      </c>
      <c r="Q972" t="s">
        <v>24</v>
      </c>
    </row>
    <row r="973" spans="1:17" x14ac:dyDescent="0.25">
      <c r="A973" t="s">
        <v>17</v>
      </c>
      <c r="B973" s="1">
        <v>41718</v>
      </c>
      <c r="C973" t="s">
        <v>98</v>
      </c>
      <c r="D973" t="str">
        <f>CONCATENATE("0060012084","")</f>
        <v>0060012084</v>
      </c>
      <c r="E973" t="str">
        <f>CONCATENATE("0121005000015       ","")</f>
        <v xml:space="preserve">0121005000015       </v>
      </c>
      <c r="F973" t="str">
        <f>CONCATENATE("605114951","")</f>
        <v>605114951</v>
      </c>
      <c r="G973" t="s">
        <v>1688</v>
      </c>
      <c r="H973" t="s">
        <v>1689</v>
      </c>
      <c r="I973" t="s">
        <v>1690</v>
      </c>
      <c r="J973" t="str">
        <f t="shared" si="111"/>
        <v>081211</v>
      </c>
      <c r="K973" t="s">
        <v>22</v>
      </c>
      <c r="L973" t="s">
        <v>23</v>
      </c>
      <c r="M973" t="str">
        <f t="shared" si="115"/>
        <v>1</v>
      </c>
      <c r="O973" t="str">
        <f t="shared" si="114"/>
        <v xml:space="preserve">1 </v>
      </c>
      <c r="P973">
        <v>213.55</v>
      </c>
      <c r="Q973" t="s">
        <v>24</v>
      </c>
    </row>
    <row r="974" spans="1:17" x14ac:dyDescent="0.25">
      <c r="A974" t="s">
        <v>17</v>
      </c>
      <c r="B974" s="1">
        <v>41718</v>
      </c>
      <c r="C974" t="s">
        <v>98</v>
      </c>
      <c r="D974" t="str">
        <f>CONCATENATE("0060009851","")</f>
        <v>0060009851</v>
      </c>
      <c r="E974" t="str">
        <f>CONCATENATE("0121007001050       ","")</f>
        <v xml:space="preserve">0121007001050       </v>
      </c>
      <c r="F974" t="str">
        <f>CONCATENATE("00000291565","")</f>
        <v>00000291565</v>
      </c>
      <c r="G974" t="s">
        <v>1691</v>
      </c>
      <c r="H974" t="s">
        <v>1692</v>
      </c>
      <c r="I974" t="s">
        <v>1693</v>
      </c>
      <c r="J974" t="str">
        <f t="shared" si="111"/>
        <v>081211</v>
      </c>
      <c r="K974" t="s">
        <v>22</v>
      </c>
      <c r="L974" t="s">
        <v>23</v>
      </c>
      <c r="M974" t="str">
        <f t="shared" si="115"/>
        <v>1</v>
      </c>
      <c r="O974" t="str">
        <f t="shared" si="114"/>
        <v xml:space="preserve">1 </v>
      </c>
      <c r="P974">
        <v>15.6</v>
      </c>
      <c r="Q974" t="s">
        <v>24</v>
      </c>
    </row>
    <row r="975" spans="1:17" x14ac:dyDescent="0.25">
      <c r="A975" t="s">
        <v>17</v>
      </c>
      <c r="B975" s="1">
        <v>41718</v>
      </c>
      <c r="C975" t="s">
        <v>98</v>
      </c>
      <c r="D975" t="str">
        <f>CONCATENATE("0060009837","")</f>
        <v>0060009837</v>
      </c>
      <c r="E975" t="str">
        <f>CONCATENATE("0121007001500       ","")</f>
        <v xml:space="preserve">0121007001500       </v>
      </c>
      <c r="F975" t="str">
        <f>CONCATENATE("00000291503","")</f>
        <v>00000291503</v>
      </c>
      <c r="G975" t="s">
        <v>1691</v>
      </c>
      <c r="H975" t="s">
        <v>1694</v>
      </c>
      <c r="I975" t="s">
        <v>1695</v>
      </c>
      <c r="J975" t="str">
        <f t="shared" si="111"/>
        <v>081211</v>
      </c>
      <c r="K975" t="s">
        <v>22</v>
      </c>
      <c r="L975" t="s">
        <v>23</v>
      </c>
      <c r="M975" t="str">
        <f t="shared" si="115"/>
        <v>1</v>
      </c>
      <c r="O975" t="str">
        <f t="shared" si="114"/>
        <v xml:space="preserve">1 </v>
      </c>
      <c r="P975">
        <v>12.4</v>
      </c>
      <c r="Q975" t="s">
        <v>24</v>
      </c>
    </row>
    <row r="976" spans="1:17" x14ac:dyDescent="0.25">
      <c r="A976" t="s">
        <v>17</v>
      </c>
      <c r="B976" s="1">
        <v>41718</v>
      </c>
      <c r="C976" t="s">
        <v>98</v>
      </c>
      <c r="D976" t="str">
        <f>CONCATENATE("0060015689","")</f>
        <v>0060015689</v>
      </c>
      <c r="E976" t="str">
        <f>CONCATENATE("0121008000050       ","")</f>
        <v xml:space="preserve">0121008000050       </v>
      </c>
      <c r="F976" t="str">
        <f>CONCATENATE("1671425","")</f>
        <v>1671425</v>
      </c>
      <c r="G976" t="s">
        <v>1696</v>
      </c>
      <c r="H976" t="s">
        <v>1697</v>
      </c>
      <c r="I976" t="s">
        <v>1698</v>
      </c>
      <c r="J976" t="str">
        <f t="shared" si="111"/>
        <v>081211</v>
      </c>
      <c r="K976" t="s">
        <v>22</v>
      </c>
      <c r="L976" t="s">
        <v>23</v>
      </c>
      <c r="M976" t="str">
        <f t="shared" si="115"/>
        <v>1</v>
      </c>
      <c r="O976" t="str">
        <f t="shared" si="114"/>
        <v xml:space="preserve">1 </v>
      </c>
      <c r="P976">
        <v>11.35</v>
      </c>
      <c r="Q976" t="s">
        <v>24</v>
      </c>
    </row>
    <row r="977" spans="1:17" x14ac:dyDescent="0.25">
      <c r="A977" t="s">
        <v>17</v>
      </c>
      <c r="B977" s="1">
        <v>41718</v>
      </c>
      <c r="C977" t="s">
        <v>98</v>
      </c>
      <c r="D977" t="str">
        <f>CONCATENATE("0060011800","")</f>
        <v>0060011800</v>
      </c>
      <c r="E977" t="str">
        <f>CONCATENATE("0121008000810       ","")</f>
        <v xml:space="preserve">0121008000810       </v>
      </c>
      <c r="F977" t="str">
        <f>CONCATENATE("605117842","")</f>
        <v>605117842</v>
      </c>
      <c r="G977" t="s">
        <v>1696</v>
      </c>
      <c r="H977" t="s">
        <v>1699</v>
      </c>
      <c r="I977" t="s">
        <v>1700</v>
      </c>
      <c r="J977" t="str">
        <f t="shared" si="111"/>
        <v>081211</v>
      </c>
      <c r="K977" t="s">
        <v>22</v>
      </c>
      <c r="L977" t="s">
        <v>23</v>
      </c>
      <c r="M977" t="str">
        <f t="shared" si="115"/>
        <v>1</v>
      </c>
      <c r="O977" t="str">
        <f t="shared" si="114"/>
        <v xml:space="preserve">1 </v>
      </c>
      <c r="P977">
        <v>18.8</v>
      </c>
      <c r="Q977" t="s">
        <v>24</v>
      </c>
    </row>
    <row r="978" spans="1:17" x14ac:dyDescent="0.25">
      <c r="A978" t="s">
        <v>17</v>
      </c>
      <c r="B978" s="1">
        <v>41718</v>
      </c>
      <c r="C978" t="s">
        <v>98</v>
      </c>
      <c r="D978" t="str">
        <f>CONCATENATE("0060010151","")</f>
        <v>0060010151</v>
      </c>
      <c r="E978" t="str">
        <f>CONCATENATE("0121008000925       ","")</f>
        <v xml:space="preserve">0121008000925       </v>
      </c>
      <c r="F978" t="str">
        <f>CONCATENATE("1942815","")</f>
        <v>1942815</v>
      </c>
      <c r="G978" t="s">
        <v>1679</v>
      </c>
      <c r="H978" t="s">
        <v>1701</v>
      </c>
      <c r="I978" t="s">
        <v>1702</v>
      </c>
      <c r="J978" t="str">
        <f t="shared" si="111"/>
        <v>081211</v>
      </c>
      <c r="K978" t="s">
        <v>22</v>
      </c>
      <c r="L978" t="s">
        <v>23</v>
      </c>
      <c r="M978" t="str">
        <f t="shared" si="115"/>
        <v>1</v>
      </c>
      <c r="O978" t="str">
        <f t="shared" si="114"/>
        <v xml:space="preserve">1 </v>
      </c>
      <c r="P978">
        <v>215.75</v>
      </c>
      <c r="Q978" t="s">
        <v>24</v>
      </c>
    </row>
    <row r="979" spans="1:17" x14ac:dyDescent="0.25">
      <c r="A979" t="s">
        <v>17</v>
      </c>
      <c r="B979" s="1">
        <v>41718</v>
      </c>
      <c r="C979" t="s">
        <v>98</v>
      </c>
      <c r="D979" t="str">
        <f>CONCATENATE("0060018944","")</f>
        <v>0060018944</v>
      </c>
      <c r="E979" t="str">
        <f>CONCATENATE("0121011001200       ","")</f>
        <v xml:space="preserve">0121011001200       </v>
      </c>
      <c r="F979" t="str">
        <f>CONCATENATE("606597041","")</f>
        <v>606597041</v>
      </c>
      <c r="G979" t="s">
        <v>1679</v>
      </c>
      <c r="H979" t="s">
        <v>1703</v>
      </c>
      <c r="I979" t="s">
        <v>1704</v>
      </c>
      <c r="J979" t="str">
        <f t="shared" si="111"/>
        <v>081211</v>
      </c>
      <c r="K979" t="s">
        <v>22</v>
      </c>
      <c r="L979" t="s">
        <v>23</v>
      </c>
      <c r="M979" t="str">
        <f t="shared" si="115"/>
        <v>1</v>
      </c>
      <c r="O979" t="str">
        <f t="shared" si="114"/>
        <v xml:space="preserve">1 </v>
      </c>
      <c r="P979">
        <v>50.05</v>
      </c>
      <c r="Q979" t="s">
        <v>24</v>
      </c>
    </row>
    <row r="980" spans="1:17" x14ac:dyDescent="0.25">
      <c r="A980" t="s">
        <v>17</v>
      </c>
      <c r="B980" s="1">
        <v>41718</v>
      </c>
      <c r="C980" t="s">
        <v>98</v>
      </c>
      <c r="D980" t="str">
        <f>CONCATENATE("0060018751","")</f>
        <v>0060018751</v>
      </c>
      <c r="E980" t="str">
        <f>CONCATENATE("0121011002720       ","")</f>
        <v xml:space="preserve">0121011002720       </v>
      </c>
      <c r="F980" t="str">
        <f>CONCATENATE("606602339","")</f>
        <v>606602339</v>
      </c>
      <c r="G980" t="s">
        <v>1705</v>
      </c>
      <c r="H980" t="s">
        <v>1706</v>
      </c>
      <c r="I980" t="s">
        <v>1707</v>
      </c>
      <c r="J980" t="str">
        <f t="shared" ref="J980:J1011" si="116">CONCATENATE("081211","")</f>
        <v>081211</v>
      </c>
      <c r="K980" t="s">
        <v>22</v>
      </c>
      <c r="L980" t="s">
        <v>23</v>
      </c>
      <c r="M980" t="str">
        <f t="shared" si="115"/>
        <v>1</v>
      </c>
      <c r="O980" t="str">
        <f t="shared" si="114"/>
        <v xml:space="preserve">1 </v>
      </c>
      <c r="P980">
        <v>27.25</v>
      </c>
      <c r="Q980" t="s">
        <v>24</v>
      </c>
    </row>
    <row r="981" spans="1:17" x14ac:dyDescent="0.25">
      <c r="A981" t="s">
        <v>17</v>
      </c>
      <c r="B981" s="1">
        <v>41718</v>
      </c>
      <c r="C981" t="s">
        <v>98</v>
      </c>
      <c r="D981" t="str">
        <f>CONCATENATE("0060016817","")</f>
        <v>0060016817</v>
      </c>
      <c r="E981" t="str">
        <f>CONCATENATE("0121020000005       ","")</f>
        <v xml:space="preserve">0121020000005       </v>
      </c>
      <c r="F981" t="str">
        <f>CONCATENATE("2150019","")</f>
        <v>2150019</v>
      </c>
      <c r="G981" t="s">
        <v>1708</v>
      </c>
      <c r="H981" t="s">
        <v>1709</v>
      </c>
      <c r="I981" t="s">
        <v>1710</v>
      </c>
      <c r="J981" t="str">
        <f t="shared" si="116"/>
        <v>081211</v>
      </c>
      <c r="K981" t="s">
        <v>22</v>
      </c>
      <c r="L981" t="s">
        <v>23</v>
      </c>
      <c r="M981" t="str">
        <f t="shared" si="115"/>
        <v>1</v>
      </c>
      <c r="O981" t="str">
        <f t="shared" si="114"/>
        <v xml:space="preserve">1 </v>
      </c>
      <c r="P981">
        <v>132</v>
      </c>
      <c r="Q981" t="s">
        <v>24</v>
      </c>
    </row>
    <row r="982" spans="1:17" x14ac:dyDescent="0.25">
      <c r="A982" t="s">
        <v>17</v>
      </c>
      <c r="B982" s="1">
        <v>41718</v>
      </c>
      <c r="C982" t="s">
        <v>98</v>
      </c>
      <c r="D982" t="str">
        <f>CONCATENATE("0060006685","")</f>
        <v>0060006685</v>
      </c>
      <c r="E982" t="str">
        <f>CONCATENATE("0121020000030       ","")</f>
        <v xml:space="preserve">0121020000030       </v>
      </c>
      <c r="F982" t="str">
        <f>CONCATENATE("1943992","")</f>
        <v>1943992</v>
      </c>
      <c r="G982" t="s">
        <v>1711</v>
      </c>
      <c r="H982" t="s">
        <v>1712</v>
      </c>
      <c r="I982" t="s">
        <v>1713</v>
      </c>
      <c r="J982" t="str">
        <f t="shared" si="116"/>
        <v>081211</v>
      </c>
      <c r="K982" t="s">
        <v>22</v>
      </c>
      <c r="L982" t="s">
        <v>23</v>
      </c>
      <c r="M982" t="str">
        <f t="shared" si="115"/>
        <v>1</v>
      </c>
      <c r="O982" t="str">
        <f t="shared" si="114"/>
        <v xml:space="preserve">1 </v>
      </c>
      <c r="P982">
        <v>33.75</v>
      </c>
      <c r="Q982" t="s">
        <v>24</v>
      </c>
    </row>
    <row r="983" spans="1:17" x14ac:dyDescent="0.25">
      <c r="A983" t="s">
        <v>17</v>
      </c>
      <c r="B983" s="1">
        <v>41718</v>
      </c>
      <c r="C983" t="s">
        <v>98</v>
      </c>
      <c r="D983" t="str">
        <f>CONCATENATE("0060006687","")</f>
        <v>0060006687</v>
      </c>
      <c r="E983" t="str">
        <f>CONCATENATE("0121020000050       ","")</f>
        <v xml:space="preserve">0121020000050       </v>
      </c>
      <c r="F983" t="str">
        <f>CONCATENATE("1930884","")</f>
        <v>1930884</v>
      </c>
      <c r="G983" t="s">
        <v>1711</v>
      </c>
      <c r="H983" t="s">
        <v>1714</v>
      </c>
      <c r="I983" t="s">
        <v>1713</v>
      </c>
      <c r="J983" t="str">
        <f t="shared" si="116"/>
        <v>081211</v>
      </c>
      <c r="K983" t="s">
        <v>22</v>
      </c>
      <c r="L983" t="s">
        <v>23</v>
      </c>
      <c r="M983" t="str">
        <f t="shared" si="115"/>
        <v>1</v>
      </c>
      <c r="O983" t="str">
        <f t="shared" si="114"/>
        <v xml:space="preserve">1 </v>
      </c>
      <c r="P983">
        <v>40.15</v>
      </c>
      <c r="Q983" t="s">
        <v>24</v>
      </c>
    </row>
    <row r="984" spans="1:17" x14ac:dyDescent="0.25">
      <c r="A984" t="s">
        <v>17</v>
      </c>
      <c r="B984" s="1">
        <v>41718</v>
      </c>
      <c r="C984" t="s">
        <v>98</v>
      </c>
      <c r="D984" t="str">
        <f>CONCATENATE("0060006697","")</f>
        <v>0060006697</v>
      </c>
      <c r="E984" t="str">
        <f>CONCATENATE("0121020000130       ","")</f>
        <v xml:space="preserve">0121020000130       </v>
      </c>
      <c r="F984" t="str">
        <f>CONCATENATE("1939585","")</f>
        <v>1939585</v>
      </c>
      <c r="G984" t="s">
        <v>1711</v>
      </c>
      <c r="H984" t="s">
        <v>1715</v>
      </c>
      <c r="I984" t="s">
        <v>1713</v>
      </c>
      <c r="J984" t="str">
        <f t="shared" si="116"/>
        <v>081211</v>
      </c>
      <c r="K984" t="s">
        <v>22</v>
      </c>
      <c r="L984" t="s">
        <v>23</v>
      </c>
      <c r="M984" t="str">
        <f t="shared" si="115"/>
        <v>1</v>
      </c>
      <c r="O984" t="str">
        <f t="shared" si="114"/>
        <v xml:space="preserve">1 </v>
      </c>
      <c r="P984">
        <v>13.6</v>
      </c>
      <c r="Q984" t="s">
        <v>24</v>
      </c>
    </row>
    <row r="985" spans="1:17" x14ac:dyDescent="0.25">
      <c r="A985" t="s">
        <v>17</v>
      </c>
      <c r="B985" s="1">
        <v>41718</v>
      </c>
      <c r="C985" t="s">
        <v>98</v>
      </c>
      <c r="D985" t="str">
        <f>CONCATENATE("0060008856","")</f>
        <v>0060008856</v>
      </c>
      <c r="E985" t="str">
        <f>CONCATENATE("0121020000345       ","")</f>
        <v xml:space="preserve">0121020000345       </v>
      </c>
      <c r="F985" t="str">
        <f>CONCATENATE("605880477","")</f>
        <v>605880477</v>
      </c>
      <c r="G985" t="s">
        <v>1711</v>
      </c>
      <c r="H985" t="s">
        <v>1716</v>
      </c>
      <c r="I985" t="s">
        <v>1717</v>
      </c>
      <c r="J985" t="str">
        <f t="shared" si="116"/>
        <v>081211</v>
      </c>
      <c r="K985" t="s">
        <v>22</v>
      </c>
      <c r="L985" t="s">
        <v>23</v>
      </c>
      <c r="M985" t="str">
        <f t="shared" si="115"/>
        <v>1</v>
      </c>
      <c r="O985" t="str">
        <f t="shared" si="114"/>
        <v xml:space="preserve">1 </v>
      </c>
      <c r="P985">
        <v>39.75</v>
      </c>
      <c r="Q985" t="s">
        <v>24</v>
      </c>
    </row>
    <row r="986" spans="1:17" x14ac:dyDescent="0.25">
      <c r="A986" t="s">
        <v>17</v>
      </c>
      <c r="B986" s="1">
        <v>41718</v>
      </c>
      <c r="C986" t="s">
        <v>98</v>
      </c>
      <c r="D986" t="str">
        <f>CONCATENATE("0060014487","")</f>
        <v>0060014487</v>
      </c>
      <c r="E986" t="str">
        <f>CONCATENATE("0121020000558       ","")</f>
        <v xml:space="preserve">0121020000558       </v>
      </c>
      <c r="F986" t="str">
        <f>CONCATENATE("1336326","")</f>
        <v>1336326</v>
      </c>
      <c r="G986" t="s">
        <v>1711</v>
      </c>
      <c r="H986" t="s">
        <v>1718</v>
      </c>
      <c r="I986" t="s">
        <v>1719</v>
      </c>
      <c r="J986" t="str">
        <f t="shared" si="116"/>
        <v>081211</v>
      </c>
      <c r="K986" t="s">
        <v>22</v>
      </c>
      <c r="L986" t="s">
        <v>23</v>
      </c>
      <c r="M986" t="str">
        <f t="shared" si="115"/>
        <v>1</v>
      </c>
      <c r="O986" t="str">
        <f t="shared" si="114"/>
        <v xml:space="preserve">1 </v>
      </c>
      <c r="P986">
        <v>46.6</v>
      </c>
      <c r="Q986" t="s">
        <v>24</v>
      </c>
    </row>
    <row r="987" spans="1:17" x14ac:dyDescent="0.25">
      <c r="A987" t="s">
        <v>17</v>
      </c>
      <c r="B987" s="1">
        <v>41718</v>
      </c>
      <c r="C987" t="s">
        <v>98</v>
      </c>
      <c r="D987" t="str">
        <f>CONCATENATE("0060015686","")</f>
        <v>0060015686</v>
      </c>
      <c r="E987" t="str">
        <f>CONCATENATE("0121020001386       ","")</f>
        <v xml:space="preserve">0121020001386       </v>
      </c>
      <c r="F987" t="str">
        <f>CONCATENATE("1671435","")</f>
        <v>1671435</v>
      </c>
      <c r="G987" t="s">
        <v>1711</v>
      </c>
      <c r="H987" t="s">
        <v>1720</v>
      </c>
      <c r="I987" t="s">
        <v>1721</v>
      </c>
      <c r="J987" t="str">
        <f t="shared" si="116"/>
        <v>081211</v>
      </c>
      <c r="K987" t="s">
        <v>22</v>
      </c>
      <c r="L987" t="s">
        <v>23</v>
      </c>
      <c r="M987" t="str">
        <f t="shared" si="115"/>
        <v>1</v>
      </c>
      <c r="O987" t="str">
        <f t="shared" si="114"/>
        <v xml:space="preserve">1 </v>
      </c>
      <c r="P987">
        <v>37.1</v>
      </c>
      <c r="Q987" t="s">
        <v>24</v>
      </c>
    </row>
    <row r="988" spans="1:17" x14ac:dyDescent="0.25">
      <c r="A988" t="s">
        <v>17</v>
      </c>
      <c r="B988" s="1">
        <v>41718</v>
      </c>
      <c r="C988" t="s">
        <v>98</v>
      </c>
      <c r="D988" t="str">
        <f>CONCATENATE("0060008756","")</f>
        <v>0060008756</v>
      </c>
      <c r="E988" t="str">
        <f>CONCATENATE("0121020001575       ","")</f>
        <v xml:space="preserve">0121020001575       </v>
      </c>
      <c r="F988" t="str">
        <f>CONCATENATE("1943991","")</f>
        <v>1943991</v>
      </c>
      <c r="G988" t="s">
        <v>1711</v>
      </c>
      <c r="H988" t="s">
        <v>1722</v>
      </c>
      <c r="I988" t="s">
        <v>1723</v>
      </c>
      <c r="J988" t="str">
        <f t="shared" si="116"/>
        <v>081211</v>
      </c>
      <c r="K988" t="s">
        <v>22</v>
      </c>
      <c r="L988" t="s">
        <v>23</v>
      </c>
      <c r="M988" t="str">
        <f t="shared" si="115"/>
        <v>1</v>
      </c>
      <c r="O988" t="str">
        <f t="shared" si="114"/>
        <v xml:space="preserve">1 </v>
      </c>
      <c r="P988">
        <v>143.5</v>
      </c>
      <c r="Q988" t="s">
        <v>24</v>
      </c>
    </row>
    <row r="989" spans="1:17" x14ac:dyDescent="0.25">
      <c r="A989" t="s">
        <v>17</v>
      </c>
      <c r="B989" s="1">
        <v>41718</v>
      </c>
      <c r="C989" t="s">
        <v>98</v>
      </c>
      <c r="D989" t="str">
        <f>CONCATENATE("0060019145","")</f>
        <v>0060019145</v>
      </c>
      <c r="E989" t="str">
        <f>CONCATENATE("0121021000030       ","")</f>
        <v xml:space="preserve">0121021000030       </v>
      </c>
      <c r="F989" t="str">
        <f>CONCATENATE("606665310","")</f>
        <v>606665310</v>
      </c>
      <c r="G989" t="s">
        <v>1724</v>
      </c>
      <c r="H989" t="s">
        <v>1725</v>
      </c>
      <c r="I989" t="s">
        <v>1726</v>
      </c>
      <c r="J989" t="str">
        <f t="shared" si="116"/>
        <v>081211</v>
      </c>
      <c r="K989" t="s">
        <v>22</v>
      </c>
      <c r="L989" t="s">
        <v>23</v>
      </c>
      <c r="M989" t="str">
        <f t="shared" si="115"/>
        <v>1</v>
      </c>
      <c r="O989" t="str">
        <f t="shared" si="114"/>
        <v xml:space="preserve">1 </v>
      </c>
      <c r="P989">
        <v>51.4</v>
      </c>
      <c r="Q989" t="s">
        <v>24</v>
      </c>
    </row>
    <row r="990" spans="1:17" x14ac:dyDescent="0.25">
      <c r="A990" t="s">
        <v>17</v>
      </c>
      <c r="B990" s="1">
        <v>41718</v>
      </c>
      <c r="C990" t="s">
        <v>98</v>
      </c>
      <c r="D990" t="str">
        <f>CONCATENATE("0060006879","")</f>
        <v>0060006879</v>
      </c>
      <c r="E990" t="str">
        <f>CONCATENATE("0121021000140       ","")</f>
        <v xml:space="preserve">0121021000140       </v>
      </c>
      <c r="F990" t="str">
        <f>CONCATENATE("1073782","")</f>
        <v>1073782</v>
      </c>
      <c r="G990" t="s">
        <v>1727</v>
      </c>
      <c r="H990" t="s">
        <v>1728</v>
      </c>
      <c r="I990" t="s">
        <v>1729</v>
      </c>
      <c r="J990" t="str">
        <f t="shared" si="116"/>
        <v>081211</v>
      </c>
      <c r="K990" t="s">
        <v>22</v>
      </c>
      <c r="L990" t="s">
        <v>23</v>
      </c>
      <c r="M990" t="str">
        <f>CONCATENATE("2","")</f>
        <v>2</v>
      </c>
      <c r="O990" t="str">
        <f t="shared" si="114"/>
        <v xml:space="preserve">1 </v>
      </c>
      <c r="P990">
        <v>55.15</v>
      </c>
      <c r="Q990" t="s">
        <v>24</v>
      </c>
    </row>
    <row r="991" spans="1:17" x14ac:dyDescent="0.25">
      <c r="A991" t="s">
        <v>17</v>
      </c>
      <c r="B991" s="1">
        <v>41718</v>
      </c>
      <c r="C991" t="s">
        <v>98</v>
      </c>
      <c r="D991" t="str">
        <f>CONCATENATE("0060006889","")</f>
        <v>0060006889</v>
      </c>
      <c r="E991" t="str">
        <f>CONCATENATE("0121021000340       ","")</f>
        <v xml:space="preserve">0121021000340       </v>
      </c>
      <c r="F991" t="str">
        <f>CONCATENATE("605055778","")</f>
        <v>605055778</v>
      </c>
      <c r="G991" t="s">
        <v>1724</v>
      </c>
      <c r="H991" t="s">
        <v>1730</v>
      </c>
      <c r="I991" t="s">
        <v>1731</v>
      </c>
      <c r="J991" t="str">
        <f t="shared" si="116"/>
        <v>081211</v>
      </c>
      <c r="K991" t="s">
        <v>22</v>
      </c>
      <c r="L991" t="s">
        <v>23</v>
      </c>
      <c r="M991" t="str">
        <f t="shared" ref="M991:M1005" si="117">CONCATENATE("1","")</f>
        <v>1</v>
      </c>
      <c r="O991" t="str">
        <f t="shared" si="114"/>
        <v xml:space="preserve">1 </v>
      </c>
      <c r="P991">
        <v>75.75</v>
      </c>
      <c r="Q991" t="s">
        <v>24</v>
      </c>
    </row>
    <row r="992" spans="1:17" x14ac:dyDescent="0.25">
      <c r="A992" t="s">
        <v>17</v>
      </c>
      <c r="B992" s="1">
        <v>41718</v>
      </c>
      <c r="C992" t="s">
        <v>98</v>
      </c>
      <c r="D992" t="str">
        <f>CONCATENATE("0060008902","")</f>
        <v>0060008902</v>
      </c>
      <c r="E992" t="str">
        <f>CONCATENATE("0121021000538       ","")</f>
        <v xml:space="preserve">0121021000538       </v>
      </c>
      <c r="F992" t="str">
        <f>CONCATENATE("09856492","")</f>
        <v>09856492</v>
      </c>
      <c r="G992" t="s">
        <v>1724</v>
      </c>
      <c r="H992" t="s">
        <v>1732</v>
      </c>
      <c r="I992" t="s">
        <v>1733</v>
      </c>
      <c r="J992" t="str">
        <f t="shared" si="116"/>
        <v>081211</v>
      </c>
      <c r="K992" t="s">
        <v>22</v>
      </c>
      <c r="L992" t="s">
        <v>23</v>
      </c>
      <c r="M992" t="str">
        <f t="shared" si="117"/>
        <v>1</v>
      </c>
      <c r="O992" t="str">
        <f t="shared" si="114"/>
        <v xml:space="preserve">1 </v>
      </c>
      <c r="P992">
        <v>268.3</v>
      </c>
      <c r="Q992" t="s">
        <v>24</v>
      </c>
    </row>
    <row r="993" spans="1:17" x14ac:dyDescent="0.25">
      <c r="A993" t="s">
        <v>17</v>
      </c>
      <c r="B993" s="1">
        <v>41718</v>
      </c>
      <c r="C993" t="s">
        <v>98</v>
      </c>
      <c r="D993" t="str">
        <f>CONCATENATE("0060006900","")</f>
        <v>0060006900</v>
      </c>
      <c r="E993" t="str">
        <f>CONCATENATE("0121021000540       ","")</f>
        <v xml:space="preserve">0121021000540       </v>
      </c>
      <c r="F993" t="str">
        <f>CONCATENATE("1073780","")</f>
        <v>1073780</v>
      </c>
      <c r="G993" t="s">
        <v>1724</v>
      </c>
      <c r="H993" t="s">
        <v>1734</v>
      </c>
      <c r="I993" t="s">
        <v>1735</v>
      </c>
      <c r="J993" t="str">
        <f t="shared" si="116"/>
        <v>081211</v>
      </c>
      <c r="K993" t="s">
        <v>22</v>
      </c>
      <c r="L993" t="s">
        <v>23</v>
      </c>
      <c r="M993" t="str">
        <f t="shared" si="117"/>
        <v>1</v>
      </c>
      <c r="O993" t="str">
        <f t="shared" si="114"/>
        <v xml:space="preserve">1 </v>
      </c>
      <c r="P993">
        <v>114.2</v>
      </c>
      <c r="Q993" t="s">
        <v>24</v>
      </c>
    </row>
    <row r="994" spans="1:17" x14ac:dyDescent="0.25">
      <c r="A994" t="s">
        <v>17</v>
      </c>
      <c r="B994" s="1">
        <v>41718</v>
      </c>
      <c r="C994" t="s">
        <v>98</v>
      </c>
      <c r="D994" t="str">
        <f>CONCATENATE("0060016522","")</f>
        <v>0060016522</v>
      </c>
      <c r="E994" t="str">
        <f>CONCATENATE("0121021000719       ","")</f>
        <v xml:space="preserve">0121021000719       </v>
      </c>
      <c r="F994" t="str">
        <f>CONCATENATE("1946552","")</f>
        <v>1946552</v>
      </c>
      <c r="G994" t="s">
        <v>1727</v>
      </c>
      <c r="H994" t="s">
        <v>1736</v>
      </c>
      <c r="I994" t="s">
        <v>1737</v>
      </c>
      <c r="J994" t="str">
        <f t="shared" si="116"/>
        <v>081211</v>
      </c>
      <c r="K994" t="s">
        <v>22</v>
      </c>
      <c r="L994" t="s">
        <v>23</v>
      </c>
      <c r="M994" t="str">
        <f t="shared" si="117"/>
        <v>1</v>
      </c>
      <c r="O994" t="str">
        <f t="shared" si="114"/>
        <v xml:space="preserve">1 </v>
      </c>
      <c r="P994">
        <v>35.200000000000003</v>
      </c>
      <c r="Q994" t="s">
        <v>28</v>
      </c>
    </row>
    <row r="995" spans="1:17" x14ac:dyDescent="0.25">
      <c r="A995" t="s">
        <v>17</v>
      </c>
      <c r="B995" s="1">
        <v>41718</v>
      </c>
      <c r="C995" t="s">
        <v>98</v>
      </c>
      <c r="D995" t="str">
        <f>CONCATENATE("0060010029","")</f>
        <v>0060010029</v>
      </c>
      <c r="E995" t="str">
        <f>CONCATENATE("0121021000825       ","")</f>
        <v xml:space="preserve">0121021000825       </v>
      </c>
      <c r="F995" t="str">
        <f>CONCATENATE("1868388","")</f>
        <v>1868388</v>
      </c>
      <c r="G995" t="s">
        <v>1727</v>
      </c>
      <c r="H995" t="s">
        <v>1738</v>
      </c>
      <c r="I995" t="s">
        <v>1739</v>
      </c>
      <c r="J995" t="str">
        <f t="shared" si="116"/>
        <v>081211</v>
      </c>
      <c r="K995" t="s">
        <v>22</v>
      </c>
      <c r="L995" t="s">
        <v>23</v>
      </c>
      <c r="M995" t="str">
        <f t="shared" si="117"/>
        <v>1</v>
      </c>
      <c r="O995" t="str">
        <f t="shared" si="114"/>
        <v xml:space="preserve">1 </v>
      </c>
      <c r="P995">
        <v>75.599999999999994</v>
      </c>
      <c r="Q995" t="s">
        <v>24</v>
      </c>
    </row>
    <row r="996" spans="1:17" x14ac:dyDescent="0.25">
      <c r="A996" t="s">
        <v>17</v>
      </c>
      <c r="B996" s="1">
        <v>41718</v>
      </c>
      <c r="C996" t="s">
        <v>98</v>
      </c>
      <c r="D996" t="str">
        <f>CONCATENATE("0060010712","")</f>
        <v>0060010712</v>
      </c>
      <c r="E996" t="str">
        <f>CONCATENATE("0121021001282       ","")</f>
        <v xml:space="preserve">0121021001282       </v>
      </c>
      <c r="F996" t="str">
        <f>CONCATENATE("1068290","")</f>
        <v>1068290</v>
      </c>
      <c r="G996" t="s">
        <v>1724</v>
      </c>
      <c r="H996" t="s">
        <v>1740</v>
      </c>
      <c r="I996" t="s">
        <v>1741</v>
      </c>
      <c r="J996" t="str">
        <f t="shared" si="116"/>
        <v>081211</v>
      </c>
      <c r="K996" t="s">
        <v>22</v>
      </c>
      <c r="L996" t="s">
        <v>23</v>
      </c>
      <c r="M996" t="str">
        <f t="shared" si="117"/>
        <v>1</v>
      </c>
      <c r="O996" t="str">
        <f t="shared" si="114"/>
        <v xml:space="preserve">1 </v>
      </c>
      <c r="P996">
        <v>43.4</v>
      </c>
      <c r="Q996" t="s">
        <v>24</v>
      </c>
    </row>
    <row r="997" spans="1:17" x14ac:dyDescent="0.25">
      <c r="A997" t="s">
        <v>17</v>
      </c>
      <c r="B997" s="1">
        <v>41718</v>
      </c>
      <c r="C997" t="s">
        <v>98</v>
      </c>
      <c r="D997" t="str">
        <f>CONCATENATE("0060008882","")</f>
        <v>0060008882</v>
      </c>
      <c r="E997" t="str">
        <f>CONCATENATE("0121025000005       ","")</f>
        <v xml:space="preserve">0121025000005       </v>
      </c>
      <c r="F997" t="str">
        <f>CONCATENATE("09856599","")</f>
        <v>09856599</v>
      </c>
      <c r="G997" t="s">
        <v>1742</v>
      </c>
      <c r="H997" t="s">
        <v>1743</v>
      </c>
      <c r="I997" t="s">
        <v>1744</v>
      </c>
      <c r="J997" t="str">
        <f t="shared" si="116"/>
        <v>081211</v>
      </c>
      <c r="K997" t="s">
        <v>22</v>
      </c>
      <c r="L997" t="s">
        <v>23</v>
      </c>
      <c r="M997" t="str">
        <f t="shared" si="117"/>
        <v>1</v>
      </c>
      <c r="O997" t="str">
        <f t="shared" si="114"/>
        <v xml:space="preserve">1 </v>
      </c>
      <c r="P997">
        <v>29.8</v>
      </c>
      <c r="Q997" t="s">
        <v>24</v>
      </c>
    </row>
    <row r="998" spans="1:17" x14ac:dyDescent="0.25">
      <c r="A998" t="s">
        <v>17</v>
      </c>
      <c r="B998" s="1">
        <v>41718</v>
      </c>
      <c r="C998" t="s">
        <v>98</v>
      </c>
      <c r="D998" t="str">
        <f>CONCATENATE("0060007045","")</f>
        <v>0060007045</v>
      </c>
      <c r="E998" t="str">
        <f>CONCATENATE("0121025000649       ","")</f>
        <v xml:space="preserve">0121025000649       </v>
      </c>
      <c r="F998" t="str">
        <f>CONCATENATE("606665600","")</f>
        <v>606665600</v>
      </c>
      <c r="G998" t="s">
        <v>1745</v>
      </c>
      <c r="H998" t="s">
        <v>1746</v>
      </c>
      <c r="I998" t="s">
        <v>1747</v>
      </c>
      <c r="J998" t="str">
        <f t="shared" si="116"/>
        <v>081211</v>
      </c>
      <c r="K998" t="s">
        <v>22</v>
      </c>
      <c r="L998" t="s">
        <v>23</v>
      </c>
      <c r="M998" t="str">
        <f t="shared" si="117"/>
        <v>1</v>
      </c>
      <c r="O998" t="str">
        <f t="shared" si="114"/>
        <v xml:space="preserve">1 </v>
      </c>
      <c r="P998">
        <v>46.6</v>
      </c>
      <c r="Q998" t="s">
        <v>24</v>
      </c>
    </row>
    <row r="999" spans="1:17" x14ac:dyDescent="0.25">
      <c r="A999" t="s">
        <v>17</v>
      </c>
      <c r="B999" s="1">
        <v>41718</v>
      </c>
      <c r="C999" t="s">
        <v>98</v>
      </c>
      <c r="D999" t="str">
        <f>CONCATENATE("0060016758","")</f>
        <v>0060016758</v>
      </c>
      <c r="E999" t="str">
        <f>CONCATENATE("0121025000659       ","")</f>
        <v xml:space="preserve">0121025000659       </v>
      </c>
      <c r="F999" t="str">
        <f>CONCATENATE("01940566","")</f>
        <v>01940566</v>
      </c>
      <c r="G999" t="s">
        <v>1745</v>
      </c>
      <c r="H999" t="s">
        <v>1748</v>
      </c>
      <c r="I999" t="s">
        <v>1749</v>
      </c>
      <c r="J999" t="str">
        <f t="shared" si="116"/>
        <v>081211</v>
      </c>
      <c r="K999" t="s">
        <v>22</v>
      </c>
      <c r="L999" t="s">
        <v>23</v>
      </c>
      <c r="M999" t="str">
        <f t="shared" si="117"/>
        <v>1</v>
      </c>
      <c r="O999" t="str">
        <f t="shared" si="114"/>
        <v xml:space="preserve">1 </v>
      </c>
      <c r="P999">
        <v>80.650000000000006</v>
      </c>
      <c r="Q999" t="s">
        <v>24</v>
      </c>
    </row>
    <row r="1000" spans="1:17" x14ac:dyDescent="0.25">
      <c r="A1000" t="s">
        <v>17</v>
      </c>
      <c r="B1000" s="1">
        <v>41718</v>
      </c>
      <c r="C1000" t="s">
        <v>98</v>
      </c>
      <c r="D1000" t="str">
        <f>CONCATENATE("0060009341","")</f>
        <v>0060009341</v>
      </c>
      <c r="E1000" t="str">
        <f>CONCATENATE("0121025001135       ","")</f>
        <v xml:space="preserve">0121025001135       </v>
      </c>
      <c r="F1000" t="str">
        <f>CONCATENATE("01970023","")</f>
        <v>01970023</v>
      </c>
      <c r="G1000" t="s">
        <v>1742</v>
      </c>
      <c r="H1000" t="s">
        <v>1750</v>
      </c>
      <c r="I1000" t="s">
        <v>1751</v>
      </c>
      <c r="J1000" t="str">
        <f t="shared" si="116"/>
        <v>081211</v>
      </c>
      <c r="K1000" t="s">
        <v>22</v>
      </c>
      <c r="L1000" t="s">
        <v>23</v>
      </c>
      <c r="M1000" t="str">
        <f t="shared" si="117"/>
        <v>1</v>
      </c>
      <c r="O1000" t="str">
        <f t="shared" si="114"/>
        <v xml:space="preserve">1 </v>
      </c>
      <c r="P1000">
        <v>80.25</v>
      </c>
      <c r="Q1000" t="s">
        <v>24</v>
      </c>
    </row>
    <row r="1001" spans="1:17" x14ac:dyDescent="0.25">
      <c r="A1001" t="s">
        <v>17</v>
      </c>
      <c r="B1001" s="1">
        <v>41718</v>
      </c>
      <c r="C1001" t="s">
        <v>98</v>
      </c>
      <c r="D1001" t="str">
        <f>CONCATENATE("0060007103","")</f>
        <v>0060007103</v>
      </c>
      <c r="E1001" t="str">
        <f>CONCATENATE("0121025001200       ","")</f>
        <v xml:space="preserve">0121025001200       </v>
      </c>
      <c r="F1001" t="str">
        <f>CONCATENATE("2121178","")</f>
        <v>2121178</v>
      </c>
      <c r="G1001" t="s">
        <v>1742</v>
      </c>
      <c r="H1001" t="s">
        <v>1752</v>
      </c>
      <c r="I1001" t="s">
        <v>1753</v>
      </c>
      <c r="J1001" t="str">
        <f t="shared" si="116"/>
        <v>081211</v>
      </c>
      <c r="K1001" t="s">
        <v>22</v>
      </c>
      <c r="L1001" t="s">
        <v>23</v>
      </c>
      <c r="M1001" t="str">
        <f t="shared" si="117"/>
        <v>1</v>
      </c>
      <c r="O1001" t="str">
        <f t="shared" si="114"/>
        <v xml:space="preserve">1 </v>
      </c>
      <c r="P1001">
        <v>16.55</v>
      </c>
      <c r="Q1001" t="s">
        <v>24</v>
      </c>
    </row>
    <row r="1002" spans="1:17" x14ac:dyDescent="0.25">
      <c r="A1002" t="s">
        <v>17</v>
      </c>
      <c r="B1002" s="1">
        <v>41718</v>
      </c>
      <c r="C1002" t="s">
        <v>98</v>
      </c>
      <c r="D1002" t="str">
        <f>CONCATENATE("0060007112","")</f>
        <v>0060007112</v>
      </c>
      <c r="E1002" t="str">
        <f>CONCATENATE("0121025001250       ","")</f>
        <v xml:space="preserve">0121025001250       </v>
      </c>
      <c r="F1002" t="str">
        <f>CONCATENATE("2127461","")</f>
        <v>2127461</v>
      </c>
      <c r="G1002" t="s">
        <v>1742</v>
      </c>
      <c r="H1002" t="s">
        <v>1746</v>
      </c>
      <c r="I1002" t="s">
        <v>1753</v>
      </c>
      <c r="J1002" t="str">
        <f t="shared" si="116"/>
        <v>081211</v>
      </c>
      <c r="K1002" t="s">
        <v>22</v>
      </c>
      <c r="L1002" t="s">
        <v>23</v>
      </c>
      <c r="M1002" t="str">
        <f t="shared" si="117"/>
        <v>1</v>
      </c>
      <c r="O1002" t="str">
        <f t="shared" si="114"/>
        <v xml:space="preserve">1 </v>
      </c>
      <c r="P1002">
        <v>11.35</v>
      </c>
      <c r="Q1002" t="s">
        <v>24</v>
      </c>
    </row>
    <row r="1003" spans="1:17" x14ac:dyDescent="0.25">
      <c r="A1003" t="s">
        <v>17</v>
      </c>
      <c r="B1003" s="1">
        <v>41718</v>
      </c>
      <c r="C1003" t="s">
        <v>98</v>
      </c>
      <c r="D1003" t="str">
        <f>CONCATENATE("0060007117","")</f>
        <v>0060007117</v>
      </c>
      <c r="E1003" t="str">
        <f>CONCATENATE("0121025001290       ","")</f>
        <v xml:space="preserve">0121025001290       </v>
      </c>
      <c r="F1003" t="str">
        <f>CONCATENATE("2127462","")</f>
        <v>2127462</v>
      </c>
      <c r="G1003" t="s">
        <v>1742</v>
      </c>
      <c r="H1003" t="s">
        <v>1754</v>
      </c>
      <c r="I1003" t="s">
        <v>1753</v>
      </c>
      <c r="J1003" t="str">
        <f t="shared" si="116"/>
        <v>081211</v>
      </c>
      <c r="K1003" t="s">
        <v>22</v>
      </c>
      <c r="L1003" t="s">
        <v>23</v>
      </c>
      <c r="M1003" t="str">
        <f t="shared" si="117"/>
        <v>1</v>
      </c>
      <c r="O1003" t="str">
        <f t="shared" si="114"/>
        <v xml:space="preserve">1 </v>
      </c>
      <c r="P1003">
        <v>32.799999999999997</v>
      </c>
      <c r="Q1003" t="s">
        <v>24</v>
      </c>
    </row>
    <row r="1004" spans="1:17" x14ac:dyDescent="0.25">
      <c r="A1004" t="s">
        <v>17</v>
      </c>
      <c r="B1004" s="1">
        <v>41718</v>
      </c>
      <c r="C1004" t="s">
        <v>98</v>
      </c>
      <c r="D1004" t="str">
        <f>CONCATENATE("0060011461","")</f>
        <v>0060011461</v>
      </c>
      <c r="E1004" t="str">
        <f>CONCATENATE("0121026000053       ","")</f>
        <v xml:space="preserve">0121026000053       </v>
      </c>
      <c r="F1004" t="str">
        <f>CONCATENATE("01117222","")</f>
        <v>01117222</v>
      </c>
      <c r="G1004" t="s">
        <v>1745</v>
      </c>
      <c r="H1004" t="s">
        <v>1755</v>
      </c>
      <c r="I1004" t="s">
        <v>1756</v>
      </c>
      <c r="J1004" t="str">
        <f t="shared" si="116"/>
        <v>081211</v>
      </c>
      <c r="K1004" t="s">
        <v>22</v>
      </c>
      <c r="L1004" t="s">
        <v>23</v>
      </c>
      <c r="M1004" t="str">
        <f t="shared" si="117"/>
        <v>1</v>
      </c>
      <c r="O1004" t="str">
        <f t="shared" si="114"/>
        <v xml:space="preserve">1 </v>
      </c>
      <c r="P1004">
        <v>33.1</v>
      </c>
      <c r="Q1004" t="s">
        <v>24</v>
      </c>
    </row>
    <row r="1005" spans="1:17" x14ac:dyDescent="0.25">
      <c r="A1005" t="s">
        <v>17</v>
      </c>
      <c r="B1005" s="1">
        <v>41718</v>
      </c>
      <c r="C1005" t="s">
        <v>98</v>
      </c>
      <c r="D1005" t="str">
        <f>CONCATENATE("0060011909","")</f>
        <v>0060011909</v>
      </c>
      <c r="E1005" t="str">
        <f>CONCATENATE("0121026000056       ","")</f>
        <v xml:space="preserve">0121026000056       </v>
      </c>
      <c r="F1005" t="str">
        <f>CONCATENATE("605113917","")</f>
        <v>605113917</v>
      </c>
      <c r="G1005" t="s">
        <v>1745</v>
      </c>
      <c r="H1005" t="s">
        <v>1757</v>
      </c>
      <c r="I1005" t="s">
        <v>1758</v>
      </c>
      <c r="J1005" t="str">
        <f t="shared" si="116"/>
        <v>081211</v>
      </c>
      <c r="K1005" t="s">
        <v>22</v>
      </c>
      <c r="L1005" t="s">
        <v>23</v>
      </c>
      <c r="M1005" t="str">
        <f t="shared" si="117"/>
        <v>1</v>
      </c>
      <c r="O1005" t="str">
        <f>CONCATENATE("5 ","")</f>
        <v xml:space="preserve">5 </v>
      </c>
      <c r="P1005">
        <v>1671.45</v>
      </c>
      <c r="Q1005" t="s">
        <v>24</v>
      </c>
    </row>
    <row r="1006" spans="1:17" x14ac:dyDescent="0.25">
      <c r="A1006" t="s">
        <v>17</v>
      </c>
      <c r="B1006" s="1">
        <v>41718</v>
      </c>
      <c r="C1006" t="s">
        <v>98</v>
      </c>
      <c r="D1006" t="str">
        <f>CONCATENATE("0060011412","")</f>
        <v>0060011412</v>
      </c>
      <c r="E1006" t="str">
        <f>CONCATENATE("0121026000089       ","")</f>
        <v xml:space="preserve">0121026000089       </v>
      </c>
      <c r="F1006" t="str">
        <f>CONCATENATE("01116353","")</f>
        <v>01116353</v>
      </c>
      <c r="G1006" t="s">
        <v>1745</v>
      </c>
      <c r="H1006" t="s">
        <v>1759</v>
      </c>
      <c r="I1006" t="s">
        <v>1760</v>
      </c>
      <c r="J1006" t="str">
        <f t="shared" si="116"/>
        <v>081211</v>
      </c>
      <c r="K1006" t="s">
        <v>22</v>
      </c>
      <c r="L1006" t="s">
        <v>23</v>
      </c>
      <c r="M1006" t="str">
        <f>CONCATENATE("2","")</f>
        <v>2</v>
      </c>
      <c r="O1006" t="str">
        <f t="shared" ref="O1006:O1038" si="118">CONCATENATE("1 ","")</f>
        <v xml:space="preserve">1 </v>
      </c>
      <c r="P1006">
        <v>38.299999999999997</v>
      </c>
      <c r="Q1006" t="s">
        <v>24</v>
      </c>
    </row>
    <row r="1007" spans="1:17" x14ac:dyDescent="0.25">
      <c r="A1007" t="s">
        <v>17</v>
      </c>
      <c r="B1007" s="1">
        <v>41718</v>
      </c>
      <c r="C1007" t="s">
        <v>98</v>
      </c>
      <c r="D1007" t="str">
        <f>CONCATENATE("0060018731","")</f>
        <v>0060018731</v>
      </c>
      <c r="E1007" t="str">
        <f>CONCATENATE("0121026000190       ","")</f>
        <v xml:space="preserve">0121026000190       </v>
      </c>
      <c r="F1007" t="str">
        <f>CONCATENATE("507030661","")</f>
        <v>507030661</v>
      </c>
      <c r="G1007" t="s">
        <v>1745</v>
      </c>
      <c r="H1007" t="s">
        <v>1761</v>
      </c>
      <c r="I1007" t="s">
        <v>1762</v>
      </c>
      <c r="J1007" t="str">
        <f t="shared" si="116"/>
        <v>081211</v>
      </c>
      <c r="K1007" t="s">
        <v>22</v>
      </c>
      <c r="L1007" t="s">
        <v>23</v>
      </c>
      <c r="M1007" t="str">
        <f>CONCATENATE("4","")</f>
        <v>4</v>
      </c>
      <c r="O1007" t="str">
        <f t="shared" si="118"/>
        <v xml:space="preserve">1 </v>
      </c>
      <c r="P1007">
        <v>12.95</v>
      </c>
      <c r="Q1007" t="s">
        <v>28</v>
      </c>
    </row>
    <row r="1008" spans="1:17" x14ac:dyDescent="0.25">
      <c r="A1008" t="s">
        <v>17</v>
      </c>
      <c r="B1008" s="1">
        <v>41718</v>
      </c>
      <c r="C1008" t="s">
        <v>98</v>
      </c>
      <c r="D1008" t="str">
        <f>CONCATENATE("0060010648","")</f>
        <v>0060010648</v>
      </c>
      <c r="E1008" t="str">
        <f>CONCATENATE("0121026000220       ","")</f>
        <v xml:space="preserve">0121026000220       </v>
      </c>
      <c r="F1008" t="str">
        <f>CONCATENATE("2051","")</f>
        <v>2051</v>
      </c>
      <c r="G1008" t="s">
        <v>1745</v>
      </c>
      <c r="H1008" t="s">
        <v>1763</v>
      </c>
      <c r="I1008" t="s">
        <v>1764</v>
      </c>
      <c r="J1008" t="str">
        <f t="shared" si="116"/>
        <v>081211</v>
      </c>
      <c r="K1008" t="s">
        <v>22</v>
      </c>
      <c r="L1008" t="s">
        <v>23</v>
      </c>
      <c r="M1008" t="str">
        <f>CONCATENATE("1","")</f>
        <v>1</v>
      </c>
      <c r="O1008" t="str">
        <f t="shared" si="118"/>
        <v xml:space="preserve">1 </v>
      </c>
      <c r="P1008">
        <v>77.8</v>
      </c>
      <c r="Q1008" t="s">
        <v>24</v>
      </c>
    </row>
    <row r="1009" spans="1:17" x14ac:dyDescent="0.25">
      <c r="A1009" t="s">
        <v>17</v>
      </c>
      <c r="B1009" s="1">
        <v>41718</v>
      </c>
      <c r="C1009" t="s">
        <v>98</v>
      </c>
      <c r="D1009" t="str">
        <f>CONCATENATE("0060018593","")</f>
        <v>0060018593</v>
      </c>
      <c r="E1009" t="str">
        <f>CONCATENATE("0121026000385       ","")</f>
        <v xml:space="preserve">0121026000385       </v>
      </c>
      <c r="F1009" t="str">
        <f>CONCATENATE("606592458","")</f>
        <v>606592458</v>
      </c>
      <c r="G1009" t="s">
        <v>1745</v>
      </c>
      <c r="H1009" t="s">
        <v>1765</v>
      </c>
      <c r="I1009" t="s">
        <v>1766</v>
      </c>
      <c r="J1009" t="str">
        <f t="shared" si="116"/>
        <v>081211</v>
      </c>
      <c r="K1009" t="s">
        <v>22</v>
      </c>
      <c r="L1009" t="s">
        <v>23</v>
      </c>
      <c r="M1009" t="str">
        <f>CONCATENATE("1","")</f>
        <v>1</v>
      </c>
      <c r="O1009" t="str">
        <f t="shared" si="118"/>
        <v xml:space="preserve">1 </v>
      </c>
      <c r="P1009">
        <v>19.149999999999999</v>
      </c>
      <c r="Q1009" t="s">
        <v>24</v>
      </c>
    </row>
    <row r="1010" spans="1:17" x14ac:dyDescent="0.25">
      <c r="A1010" t="s">
        <v>17</v>
      </c>
      <c r="B1010" s="1">
        <v>41718</v>
      </c>
      <c r="C1010" t="s">
        <v>98</v>
      </c>
      <c r="D1010" t="str">
        <f>CONCATENATE("0060016913","")</f>
        <v>0060016913</v>
      </c>
      <c r="E1010" t="str">
        <f>CONCATENATE("0121026000600       ","")</f>
        <v xml:space="preserve">0121026000600       </v>
      </c>
      <c r="F1010" t="str">
        <f>CONCATENATE("2150381","")</f>
        <v>2150381</v>
      </c>
      <c r="G1010" t="s">
        <v>1745</v>
      </c>
      <c r="H1010" t="s">
        <v>1767</v>
      </c>
      <c r="I1010" t="s">
        <v>1768</v>
      </c>
      <c r="J1010" t="str">
        <f t="shared" si="116"/>
        <v>081211</v>
      </c>
      <c r="K1010" t="s">
        <v>22</v>
      </c>
      <c r="L1010" t="s">
        <v>23</v>
      </c>
      <c r="M1010" t="str">
        <f>CONCATENATE("1","")</f>
        <v>1</v>
      </c>
      <c r="O1010" t="str">
        <f t="shared" si="118"/>
        <v xml:space="preserve">1 </v>
      </c>
      <c r="P1010">
        <v>94.3</v>
      </c>
      <c r="Q1010" t="s">
        <v>24</v>
      </c>
    </row>
    <row r="1011" spans="1:17" x14ac:dyDescent="0.25">
      <c r="A1011" t="s">
        <v>17</v>
      </c>
      <c r="B1011" s="1">
        <v>41718</v>
      </c>
      <c r="C1011" t="s">
        <v>98</v>
      </c>
      <c r="D1011" t="str">
        <f>CONCATENATE("0060013810","")</f>
        <v>0060013810</v>
      </c>
      <c r="E1011" t="str">
        <f>CONCATENATE("0121027000620       ","")</f>
        <v xml:space="preserve">0121027000620       </v>
      </c>
      <c r="F1011" t="str">
        <f>CONCATENATE("605621014","")</f>
        <v>605621014</v>
      </c>
      <c r="G1011" t="s">
        <v>1769</v>
      </c>
      <c r="H1011" t="s">
        <v>1770</v>
      </c>
      <c r="I1011" t="s">
        <v>1771</v>
      </c>
      <c r="J1011" t="str">
        <f t="shared" si="116"/>
        <v>081211</v>
      </c>
      <c r="K1011" t="s">
        <v>22</v>
      </c>
      <c r="L1011" t="s">
        <v>23</v>
      </c>
      <c r="M1011" t="str">
        <f>CONCATENATE("1","")</f>
        <v>1</v>
      </c>
      <c r="O1011" t="str">
        <f t="shared" si="118"/>
        <v xml:space="preserve">1 </v>
      </c>
      <c r="P1011">
        <v>39</v>
      </c>
      <c r="Q1011" t="s">
        <v>24</v>
      </c>
    </row>
    <row r="1012" spans="1:17" x14ac:dyDescent="0.25">
      <c r="A1012" t="s">
        <v>17</v>
      </c>
      <c r="B1012" s="1">
        <v>41718</v>
      </c>
      <c r="C1012" t="s">
        <v>1772</v>
      </c>
      <c r="D1012" t="str">
        <f>CONCATENATE("0060015795","")</f>
        <v>0060015795</v>
      </c>
      <c r="E1012" t="str">
        <f>CONCATENATE("0121201001205       ","")</f>
        <v xml:space="preserve">0121201001205       </v>
      </c>
      <c r="F1012" t="str">
        <f>CONCATENATE("1675377","")</f>
        <v>1675377</v>
      </c>
      <c r="G1012" t="s">
        <v>1708</v>
      </c>
      <c r="H1012" t="s">
        <v>1773</v>
      </c>
      <c r="I1012" t="s">
        <v>1774</v>
      </c>
      <c r="J1012" t="str">
        <f t="shared" ref="J1012:J1038" si="119">CONCATENATE("081208","")</f>
        <v>081208</v>
      </c>
      <c r="K1012" t="s">
        <v>22</v>
      </c>
      <c r="L1012" t="s">
        <v>23</v>
      </c>
      <c r="M1012" t="str">
        <f>CONCATENATE("1","")</f>
        <v>1</v>
      </c>
      <c r="O1012" t="str">
        <f t="shared" si="118"/>
        <v xml:space="preserve">1 </v>
      </c>
      <c r="P1012">
        <v>23.6</v>
      </c>
      <c r="Q1012" t="s">
        <v>24</v>
      </c>
    </row>
    <row r="1013" spans="1:17" x14ac:dyDescent="0.25">
      <c r="A1013" t="s">
        <v>17</v>
      </c>
      <c r="B1013" s="1">
        <v>41718</v>
      </c>
      <c r="C1013" t="s">
        <v>1772</v>
      </c>
      <c r="D1013" t="str">
        <f>CONCATENATE("0060010426","")</f>
        <v>0060010426</v>
      </c>
      <c r="E1013" t="str">
        <f>CONCATENATE("0121202000067       ","")</f>
        <v xml:space="preserve">0121202000067       </v>
      </c>
      <c r="F1013" t="str">
        <f>CONCATENATE("1933117","")</f>
        <v>1933117</v>
      </c>
      <c r="G1013" t="s">
        <v>1708</v>
      </c>
      <c r="H1013" t="s">
        <v>1775</v>
      </c>
      <c r="I1013" t="s">
        <v>1776</v>
      </c>
      <c r="J1013" t="str">
        <f t="shared" si="119"/>
        <v>081208</v>
      </c>
      <c r="K1013" t="s">
        <v>22</v>
      </c>
      <c r="L1013" t="s">
        <v>23</v>
      </c>
      <c r="M1013" t="str">
        <f>CONCATENATE("3","")</f>
        <v>3</v>
      </c>
      <c r="O1013" t="str">
        <f t="shared" si="118"/>
        <v xml:space="preserve">1 </v>
      </c>
      <c r="P1013">
        <v>43.45</v>
      </c>
      <c r="Q1013" t="s">
        <v>28</v>
      </c>
    </row>
    <row r="1014" spans="1:17" x14ac:dyDescent="0.25">
      <c r="A1014" t="s">
        <v>17</v>
      </c>
      <c r="B1014" s="1">
        <v>41718</v>
      </c>
      <c r="C1014" t="s">
        <v>1772</v>
      </c>
      <c r="D1014" t="str">
        <f>CONCATENATE("0060007436","")</f>
        <v>0060007436</v>
      </c>
      <c r="E1014" t="str">
        <f>CONCATENATE("0121202000270       ","")</f>
        <v xml:space="preserve">0121202000270       </v>
      </c>
      <c r="F1014" t="str">
        <f>CONCATENATE("1870235","")</f>
        <v>1870235</v>
      </c>
      <c r="G1014" t="s">
        <v>1777</v>
      </c>
      <c r="H1014" t="s">
        <v>1778</v>
      </c>
      <c r="I1014" t="s">
        <v>1779</v>
      </c>
      <c r="J1014" t="str">
        <f t="shared" si="119"/>
        <v>081208</v>
      </c>
      <c r="K1014" t="s">
        <v>22</v>
      </c>
      <c r="L1014" t="s">
        <v>23</v>
      </c>
      <c r="M1014" t="str">
        <f t="shared" ref="M1014:M1024" si="120">CONCATENATE("1","")</f>
        <v>1</v>
      </c>
      <c r="O1014" t="str">
        <f t="shared" si="118"/>
        <v xml:space="preserve">1 </v>
      </c>
      <c r="P1014">
        <v>18.850000000000001</v>
      </c>
      <c r="Q1014" t="s">
        <v>24</v>
      </c>
    </row>
    <row r="1015" spans="1:17" x14ac:dyDescent="0.25">
      <c r="A1015" t="s">
        <v>17</v>
      </c>
      <c r="B1015" s="1">
        <v>41718</v>
      </c>
      <c r="C1015" t="s">
        <v>1772</v>
      </c>
      <c r="D1015" t="str">
        <f>CONCATENATE("0060007438","")</f>
        <v>0060007438</v>
      </c>
      <c r="E1015" t="str">
        <f>CONCATENATE("0121202000290       ","")</f>
        <v xml:space="preserve">0121202000290       </v>
      </c>
      <c r="F1015" t="str">
        <f>CONCATENATE("1942701","")</f>
        <v>1942701</v>
      </c>
      <c r="G1015" t="s">
        <v>1777</v>
      </c>
      <c r="H1015" t="s">
        <v>1780</v>
      </c>
      <c r="I1015" t="s">
        <v>1779</v>
      </c>
      <c r="J1015" t="str">
        <f t="shared" si="119"/>
        <v>081208</v>
      </c>
      <c r="K1015" t="s">
        <v>22</v>
      </c>
      <c r="L1015" t="s">
        <v>23</v>
      </c>
      <c r="M1015" t="str">
        <f t="shared" si="120"/>
        <v>1</v>
      </c>
      <c r="O1015" t="str">
        <f t="shared" si="118"/>
        <v xml:space="preserve">1 </v>
      </c>
      <c r="P1015">
        <v>11.4</v>
      </c>
      <c r="Q1015" t="s">
        <v>24</v>
      </c>
    </row>
    <row r="1016" spans="1:17" x14ac:dyDescent="0.25">
      <c r="A1016" t="s">
        <v>17</v>
      </c>
      <c r="B1016" s="1">
        <v>41718</v>
      </c>
      <c r="C1016" t="s">
        <v>1772</v>
      </c>
      <c r="D1016" t="str">
        <f>CONCATENATE("0060007547","")</f>
        <v>0060007547</v>
      </c>
      <c r="E1016" t="str">
        <f>CONCATENATE("0121202001150       ","")</f>
        <v xml:space="preserve">0121202001150       </v>
      </c>
      <c r="F1016" t="str">
        <f>CONCATENATE("1861444","")</f>
        <v>1861444</v>
      </c>
      <c r="G1016" t="s">
        <v>1777</v>
      </c>
      <c r="H1016" t="s">
        <v>1781</v>
      </c>
      <c r="I1016" t="s">
        <v>1782</v>
      </c>
      <c r="J1016" t="str">
        <f t="shared" si="119"/>
        <v>081208</v>
      </c>
      <c r="K1016" t="s">
        <v>22</v>
      </c>
      <c r="L1016" t="s">
        <v>23</v>
      </c>
      <c r="M1016" t="str">
        <f t="shared" si="120"/>
        <v>1</v>
      </c>
      <c r="O1016" t="str">
        <f t="shared" si="118"/>
        <v xml:space="preserve">1 </v>
      </c>
      <c r="P1016">
        <v>100.55</v>
      </c>
      <c r="Q1016" t="s">
        <v>24</v>
      </c>
    </row>
    <row r="1017" spans="1:17" x14ac:dyDescent="0.25">
      <c r="A1017" t="s">
        <v>17</v>
      </c>
      <c r="B1017" s="1">
        <v>41718</v>
      </c>
      <c r="C1017" t="s">
        <v>1772</v>
      </c>
      <c r="D1017" t="str">
        <f>CONCATENATE("0060007585","")</f>
        <v>0060007585</v>
      </c>
      <c r="E1017" t="str">
        <f>CONCATENATE("0121203000033       ","")</f>
        <v xml:space="preserve">0121203000033       </v>
      </c>
      <c r="F1017" t="str">
        <f>CONCATENATE("07554854","")</f>
        <v>07554854</v>
      </c>
      <c r="G1017" t="s">
        <v>1783</v>
      </c>
      <c r="H1017" t="s">
        <v>1784</v>
      </c>
      <c r="I1017" t="s">
        <v>1785</v>
      </c>
      <c r="J1017" t="str">
        <f t="shared" si="119"/>
        <v>081208</v>
      </c>
      <c r="K1017" t="s">
        <v>22</v>
      </c>
      <c r="L1017" t="s">
        <v>23</v>
      </c>
      <c r="M1017" t="str">
        <f t="shared" si="120"/>
        <v>1</v>
      </c>
      <c r="O1017" t="str">
        <f t="shared" si="118"/>
        <v xml:space="preserve">1 </v>
      </c>
      <c r="P1017">
        <v>52.25</v>
      </c>
      <c r="Q1017" t="s">
        <v>24</v>
      </c>
    </row>
    <row r="1018" spans="1:17" x14ac:dyDescent="0.25">
      <c r="A1018" t="s">
        <v>17</v>
      </c>
      <c r="B1018" s="1">
        <v>41718</v>
      </c>
      <c r="C1018" t="s">
        <v>1772</v>
      </c>
      <c r="D1018" t="str">
        <f>CONCATENATE("0060011511","")</f>
        <v>0060011511</v>
      </c>
      <c r="E1018" t="str">
        <f>CONCATENATE("0121203000455       ","")</f>
        <v xml:space="preserve">0121203000455       </v>
      </c>
      <c r="F1018" t="str">
        <f>CONCATENATE("01240739","")</f>
        <v>01240739</v>
      </c>
      <c r="G1018" t="s">
        <v>1783</v>
      </c>
      <c r="H1018" t="s">
        <v>1786</v>
      </c>
      <c r="I1018" t="s">
        <v>1787</v>
      </c>
      <c r="J1018" t="str">
        <f t="shared" si="119"/>
        <v>081208</v>
      </c>
      <c r="K1018" t="s">
        <v>22</v>
      </c>
      <c r="L1018" t="s">
        <v>23</v>
      </c>
      <c r="M1018" t="str">
        <f t="shared" si="120"/>
        <v>1</v>
      </c>
      <c r="O1018" t="str">
        <f t="shared" si="118"/>
        <v xml:space="preserve">1 </v>
      </c>
      <c r="P1018">
        <v>12.55</v>
      </c>
      <c r="Q1018" t="s">
        <v>24</v>
      </c>
    </row>
    <row r="1019" spans="1:17" x14ac:dyDescent="0.25">
      <c r="A1019" t="s">
        <v>17</v>
      </c>
      <c r="B1019" s="1">
        <v>41718</v>
      </c>
      <c r="C1019" t="s">
        <v>1772</v>
      </c>
      <c r="D1019" t="str">
        <f>CONCATENATE("0060010718","")</f>
        <v>0060010718</v>
      </c>
      <c r="E1019" t="str">
        <f>CONCATENATE("0121203001013       ","")</f>
        <v xml:space="preserve">0121203001013       </v>
      </c>
      <c r="F1019" t="str">
        <f>CONCATENATE("8302120","")</f>
        <v>8302120</v>
      </c>
      <c r="G1019" t="s">
        <v>1708</v>
      </c>
      <c r="H1019" t="s">
        <v>1788</v>
      </c>
      <c r="I1019" t="s">
        <v>1789</v>
      </c>
      <c r="J1019" t="str">
        <f t="shared" si="119"/>
        <v>081208</v>
      </c>
      <c r="K1019" t="s">
        <v>22</v>
      </c>
      <c r="L1019" t="s">
        <v>23</v>
      </c>
      <c r="M1019" t="str">
        <f t="shared" si="120"/>
        <v>1</v>
      </c>
      <c r="O1019" t="str">
        <f t="shared" si="118"/>
        <v xml:space="preserve">1 </v>
      </c>
      <c r="P1019">
        <v>47.7</v>
      </c>
      <c r="Q1019" t="s">
        <v>24</v>
      </c>
    </row>
    <row r="1020" spans="1:17" x14ac:dyDescent="0.25">
      <c r="A1020" t="s">
        <v>17</v>
      </c>
      <c r="B1020" s="1">
        <v>41718</v>
      </c>
      <c r="C1020" t="s">
        <v>1772</v>
      </c>
      <c r="D1020" t="str">
        <f>CONCATENATE("0060018508","")</f>
        <v>0060018508</v>
      </c>
      <c r="E1020" t="str">
        <f>CONCATENATE("0121204000015       ","")</f>
        <v xml:space="preserve">0121204000015       </v>
      </c>
      <c r="F1020" t="str">
        <f>CONCATENATE("0606593807","")</f>
        <v>0606593807</v>
      </c>
      <c r="G1020" t="s">
        <v>1790</v>
      </c>
      <c r="H1020" t="s">
        <v>1791</v>
      </c>
      <c r="I1020" t="s">
        <v>1792</v>
      </c>
      <c r="J1020" t="str">
        <f t="shared" si="119"/>
        <v>081208</v>
      </c>
      <c r="K1020" t="s">
        <v>22</v>
      </c>
      <c r="L1020" t="s">
        <v>23</v>
      </c>
      <c r="M1020" t="str">
        <f t="shared" si="120"/>
        <v>1</v>
      </c>
      <c r="O1020" t="str">
        <f t="shared" si="118"/>
        <v xml:space="preserve">1 </v>
      </c>
      <c r="P1020">
        <v>11.35</v>
      </c>
      <c r="Q1020" t="s">
        <v>24</v>
      </c>
    </row>
    <row r="1021" spans="1:17" x14ac:dyDescent="0.25">
      <c r="A1021" t="s">
        <v>17</v>
      </c>
      <c r="B1021" s="1">
        <v>41718</v>
      </c>
      <c r="C1021" t="s">
        <v>1772</v>
      </c>
      <c r="D1021" t="str">
        <f>CONCATENATE("0060011209","")</f>
        <v>0060011209</v>
      </c>
      <c r="E1021" t="str">
        <f>CONCATENATE("0121204001273       ","")</f>
        <v xml:space="preserve">0121204001273       </v>
      </c>
      <c r="F1021" t="str">
        <f>CONCATENATE("3454","")</f>
        <v>3454</v>
      </c>
      <c r="G1021" t="s">
        <v>1790</v>
      </c>
      <c r="H1021" t="s">
        <v>1793</v>
      </c>
      <c r="I1021" t="s">
        <v>1794</v>
      </c>
      <c r="J1021" t="str">
        <f t="shared" si="119"/>
        <v>081208</v>
      </c>
      <c r="K1021" t="s">
        <v>22</v>
      </c>
      <c r="L1021" t="s">
        <v>23</v>
      </c>
      <c r="M1021" t="str">
        <f t="shared" si="120"/>
        <v>1</v>
      </c>
      <c r="O1021" t="str">
        <f t="shared" si="118"/>
        <v xml:space="preserve">1 </v>
      </c>
      <c r="P1021">
        <v>18.7</v>
      </c>
      <c r="Q1021" t="s">
        <v>24</v>
      </c>
    </row>
    <row r="1022" spans="1:17" x14ac:dyDescent="0.25">
      <c r="A1022" t="s">
        <v>17</v>
      </c>
      <c r="B1022" s="1">
        <v>41718</v>
      </c>
      <c r="C1022" t="s">
        <v>1772</v>
      </c>
      <c r="D1022" t="str">
        <f>CONCATENATE("0060007893","")</f>
        <v>0060007893</v>
      </c>
      <c r="E1022" t="str">
        <f>CONCATENATE("0121220000075       ","")</f>
        <v xml:space="preserve">0121220000075       </v>
      </c>
      <c r="F1022" t="str">
        <f>CONCATENATE("1863053","")</f>
        <v>1863053</v>
      </c>
      <c r="G1022" t="s">
        <v>1795</v>
      </c>
      <c r="H1022" t="s">
        <v>1796</v>
      </c>
      <c r="I1022" t="s">
        <v>1797</v>
      </c>
      <c r="J1022" t="str">
        <f t="shared" si="119"/>
        <v>081208</v>
      </c>
      <c r="K1022" t="s">
        <v>22</v>
      </c>
      <c r="L1022" t="s">
        <v>23</v>
      </c>
      <c r="M1022" t="str">
        <f t="shared" si="120"/>
        <v>1</v>
      </c>
      <c r="O1022" t="str">
        <f t="shared" si="118"/>
        <v xml:space="preserve">1 </v>
      </c>
      <c r="P1022">
        <v>29.8</v>
      </c>
      <c r="Q1022" t="s">
        <v>24</v>
      </c>
    </row>
    <row r="1023" spans="1:17" x14ac:dyDescent="0.25">
      <c r="A1023" t="s">
        <v>17</v>
      </c>
      <c r="B1023" s="1">
        <v>41718</v>
      </c>
      <c r="C1023" t="s">
        <v>1772</v>
      </c>
      <c r="D1023" t="str">
        <f>CONCATENATE("0060007833","")</f>
        <v>0060007833</v>
      </c>
      <c r="E1023" t="str">
        <f>CONCATENATE("0121220000630       ","")</f>
        <v xml:space="preserve">0121220000630       </v>
      </c>
      <c r="F1023" t="str">
        <f>CONCATENATE("1940099","")</f>
        <v>1940099</v>
      </c>
      <c r="G1023" t="s">
        <v>1795</v>
      </c>
      <c r="H1023" t="s">
        <v>1798</v>
      </c>
      <c r="I1023" t="s">
        <v>1799</v>
      </c>
      <c r="J1023" t="str">
        <f t="shared" si="119"/>
        <v>081208</v>
      </c>
      <c r="K1023" t="s">
        <v>22</v>
      </c>
      <c r="L1023" t="s">
        <v>23</v>
      </c>
      <c r="M1023" t="str">
        <f t="shared" si="120"/>
        <v>1</v>
      </c>
      <c r="O1023" t="str">
        <f t="shared" si="118"/>
        <v xml:space="preserve">1 </v>
      </c>
      <c r="P1023">
        <v>151.69999999999999</v>
      </c>
      <c r="Q1023" t="s">
        <v>24</v>
      </c>
    </row>
    <row r="1024" spans="1:17" x14ac:dyDescent="0.25">
      <c r="A1024" t="s">
        <v>17</v>
      </c>
      <c r="B1024" s="1">
        <v>41718</v>
      </c>
      <c r="C1024" t="s">
        <v>1772</v>
      </c>
      <c r="D1024" t="str">
        <f>CONCATENATE("0060007861","")</f>
        <v>0060007861</v>
      </c>
      <c r="E1024" t="str">
        <f>CONCATENATE("0121220000820       ","")</f>
        <v xml:space="preserve">0121220000820       </v>
      </c>
      <c r="F1024" t="str">
        <f>CONCATENATE("605114938","")</f>
        <v>605114938</v>
      </c>
      <c r="G1024" t="s">
        <v>1795</v>
      </c>
      <c r="H1024" t="s">
        <v>1800</v>
      </c>
      <c r="I1024" t="s">
        <v>1799</v>
      </c>
      <c r="J1024" t="str">
        <f t="shared" si="119"/>
        <v>081208</v>
      </c>
      <c r="K1024" t="s">
        <v>22</v>
      </c>
      <c r="L1024" t="s">
        <v>23</v>
      </c>
      <c r="M1024" t="str">
        <f t="shared" si="120"/>
        <v>1</v>
      </c>
      <c r="O1024" t="str">
        <f t="shared" si="118"/>
        <v xml:space="preserve">1 </v>
      </c>
      <c r="P1024">
        <v>333.4</v>
      </c>
      <c r="Q1024" t="s">
        <v>24</v>
      </c>
    </row>
    <row r="1025" spans="1:17" x14ac:dyDescent="0.25">
      <c r="A1025" t="s">
        <v>17</v>
      </c>
      <c r="B1025" s="1">
        <v>41718</v>
      </c>
      <c r="C1025" t="s">
        <v>1772</v>
      </c>
      <c r="D1025" t="str">
        <f>CONCATENATE("0060007877","")</f>
        <v>0060007877</v>
      </c>
      <c r="E1025" t="str">
        <f>CONCATENATE("0121220000879       ","")</f>
        <v xml:space="preserve">0121220000879       </v>
      </c>
      <c r="F1025" t="str">
        <f>CONCATENATE("111642","")</f>
        <v>111642</v>
      </c>
      <c r="G1025" t="s">
        <v>1795</v>
      </c>
      <c r="H1025" t="s">
        <v>1801</v>
      </c>
      <c r="I1025" t="s">
        <v>1802</v>
      </c>
      <c r="J1025" t="str">
        <f t="shared" si="119"/>
        <v>081208</v>
      </c>
      <c r="K1025" t="s">
        <v>22</v>
      </c>
      <c r="L1025" t="s">
        <v>23</v>
      </c>
      <c r="M1025" t="str">
        <f>CONCATENATE("3","")</f>
        <v>3</v>
      </c>
      <c r="O1025" t="str">
        <f t="shared" si="118"/>
        <v xml:space="preserve">1 </v>
      </c>
      <c r="P1025">
        <v>1231.2</v>
      </c>
      <c r="Q1025" t="s">
        <v>28</v>
      </c>
    </row>
    <row r="1026" spans="1:17" x14ac:dyDescent="0.25">
      <c r="A1026" t="s">
        <v>17</v>
      </c>
      <c r="B1026" s="1">
        <v>41718</v>
      </c>
      <c r="C1026" t="s">
        <v>1772</v>
      </c>
      <c r="D1026" t="str">
        <f>CONCATENATE("0060002480","")</f>
        <v>0060002480</v>
      </c>
      <c r="E1026" t="str">
        <f>CONCATENATE("0121220000955       ","")</f>
        <v xml:space="preserve">0121220000955       </v>
      </c>
      <c r="F1026" t="str">
        <f>CONCATENATE("605747352","")</f>
        <v>605747352</v>
      </c>
      <c r="G1026" t="s">
        <v>1795</v>
      </c>
      <c r="H1026" t="s">
        <v>1803</v>
      </c>
      <c r="I1026" t="s">
        <v>1804</v>
      </c>
      <c r="J1026" t="str">
        <f t="shared" si="119"/>
        <v>081208</v>
      </c>
      <c r="K1026" t="s">
        <v>22</v>
      </c>
      <c r="L1026" t="s">
        <v>23</v>
      </c>
      <c r="M1026" t="str">
        <f>CONCATENATE("1","")</f>
        <v>1</v>
      </c>
      <c r="O1026" t="str">
        <f t="shared" si="118"/>
        <v xml:space="preserve">1 </v>
      </c>
      <c r="P1026">
        <v>250.75</v>
      </c>
      <c r="Q1026" t="s">
        <v>24</v>
      </c>
    </row>
    <row r="1027" spans="1:17" x14ac:dyDescent="0.25">
      <c r="A1027" t="s">
        <v>17</v>
      </c>
      <c r="B1027" s="1">
        <v>41718</v>
      </c>
      <c r="C1027" t="s">
        <v>1772</v>
      </c>
      <c r="D1027" t="str">
        <f>CONCATENATE("0060012701","")</f>
        <v>0060012701</v>
      </c>
      <c r="E1027" t="str">
        <f>CONCATENATE("0121220003000       ","")</f>
        <v xml:space="preserve">0121220003000       </v>
      </c>
      <c r="F1027" t="str">
        <f>CONCATENATE("605085003","")</f>
        <v>605085003</v>
      </c>
      <c r="G1027" t="s">
        <v>1805</v>
      </c>
      <c r="H1027" t="s">
        <v>1806</v>
      </c>
      <c r="I1027" t="s">
        <v>1807</v>
      </c>
      <c r="J1027" t="str">
        <f t="shared" si="119"/>
        <v>081208</v>
      </c>
      <c r="K1027" t="s">
        <v>22</v>
      </c>
      <c r="L1027" t="s">
        <v>23</v>
      </c>
      <c r="M1027" t="str">
        <f>CONCATENATE("1","")</f>
        <v>1</v>
      </c>
      <c r="O1027" t="str">
        <f t="shared" si="118"/>
        <v xml:space="preserve">1 </v>
      </c>
      <c r="P1027">
        <v>181.95</v>
      </c>
      <c r="Q1027" t="s">
        <v>24</v>
      </c>
    </row>
    <row r="1028" spans="1:17" x14ac:dyDescent="0.25">
      <c r="A1028" t="s">
        <v>17</v>
      </c>
      <c r="B1028" s="1">
        <v>41718</v>
      </c>
      <c r="C1028" t="s">
        <v>1772</v>
      </c>
      <c r="D1028" t="str">
        <f>CONCATENATE("0060007898","")</f>
        <v>0060007898</v>
      </c>
      <c r="E1028" t="str">
        <f>CONCATENATE("0121222000080       ","")</f>
        <v xml:space="preserve">0121222000080       </v>
      </c>
      <c r="F1028" t="str">
        <f>CONCATENATE("00000002340","")</f>
        <v>00000002340</v>
      </c>
      <c r="G1028" t="s">
        <v>1808</v>
      </c>
      <c r="H1028" t="s">
        <v>1809</v>
      </c>
      <c r="I1028" t="s">
        <v>1810</v>
      </c>
      <c r="J1028" t="str">
        <f t="shared" si="119"/>
        <v>081208</v>
      </c>
      <c r="K1028" t="s">
        <v>22</v>
      </c>
      <c r="L1028" t="s">
        <v>23</v>
      </c>
      <c r="M1028" t="str">
        <f>CONCATENATE("1","")</f>
        <v>1</v>
      </c>
      <c r="O1028" t="str">
        <f t="shared" si="118"/>
        <v xml:space="preserve">1 </v>
      </c>
      <c r="P1028">
        <v>58.6</v>
      </c>
      <c r="Q1028" t="s">
        <v>24</v>
      </c>
    </row>
    <row r="1029" spans="1:17" x14ac:dyDescent="0.25">
      <c r="A1029" t="s">
        <v>17</v>
      </c>
      <c r="B1029" s="1">
        <v>41718</v>
      </c>
      <c r="C1029" t="s">
        <v>1772</v>
      </c>
      <c r="D1029" t="str">
        <f>CONCATENATE("0060012382","")</f>
        <v>0060012382</v>
      </c>
      <c r="E1029" t="str">
        <f>CONCATENATE("0121222000200       ","")</f>
        <v xml:space="preserve">0121222000200       </v>
      </c>
      <c r="F1029" t="str">
        <f>CONCATENATE("110770","")</f>
        <v>110770</v>
      </c>
      <c r="G1029" t="s">
        <v>1808</v>
      </c>
      <c r="H1029" t="s">
        <v>1811</v>
      </c>
      <c r="I1029" t="s">
        <v>1812</v>
      </c>
      <c r="J1029" t="str">
        <f t="shared" si="119"/>
        <v>081208</v>
      </c>
      <c r="K1029" t="s">
        <v>22</v>
      </c>
      <c r="L1029" t="s">
        <v>23</v>
      </c>
      <c r="M1029" t="str">
        <f>CONCATENATE("3","")</f>
        <v>3</v>
      </c>
      <c r="O1029" t="str">
        <f t="shared" si="118"/>
        <v xml:space="preserve">1 </v>
      </c>
      <c r="P1029">
        <v>245.15</v>
      </c>
      <c r="Q1029" t="s">
        <v>28</v>
      </c>
    </row>
    <row r="1030" spans="1:17" x14ac:dyDescent="0.25">
      <c r="A1030" t="s">
        <v>17</v>
      </c>
      <c r="B1030" s="1">
        <v>41718</v>
      </c>
      <c r="C1030" t="s">
        <v>1772</v>
      </c>
      <c r="D1030" t="str">
        <f>CONCATENATE("0060013468","")</f>
        <v>0060013468</v>
      </c>
      <c r="E1030" t="str">
        <f>CONCATENATE("0121222000210       ","")</f>
        <v xml:space="preserve">0121222000210       </v>
      </c>
      <c r="F1030" t="str">
        <f>CONCATENATE("112867","")</f>
        <v>112867</v>
      </c>
      <c r="G1030" t="s">
        <v>1808</v>
      </c>
      <c r="H1030" t="s">
        <v>1813</v>
      </c>
      <c r="I1030" t="s">
        <v>1814</v>
      </c>
      <c r="J1030" t="str">
        <f t="shared" si="119"/>
        <v>081208</v>
      </c>
      <c r="K1030" t="s">
        <v>22</v>
      </c>
      <c r="L1030" t="s">
        <v>23</v>
      </c>
      <c r="M1030" t="str">
        <f>CONCATENATE("3","")</f>
        <v>3</v>
      </c>
      <c r="O1030" t="str">
        <f t="shared" si="118"/>
        <v xml:space="preserve">1 </v>
      </c>
      <c r="P1030">
        <v>1503.7</v>
      </c>
      <c r="Q1030" t="s">
        <v>28</v>
      </c>
    </row>
    <row r="1031" spans="1:17" x14ac:dyDescent="0.25">
      <c r="A1031" t="s">
        <v>17</v>
      </c>
      <c r="B1031" s="1">
        <v>41718</v>
      </c>
      <c r="C1031" t="s">
        <v>1772</v>
      </c>
      <c r="D1031" t="str">
        <f>CONCATENATE("0060007903","")</f>
        <v>0060007903</v>
      </c>
      <c r="E1031" t="str">
        <f>CONCATENATE("0121222000230       ","")</f>
        <v xml:space="preserve">0121222000230       </v>
      </c>
      <c r="F1031" t="str">
        <f>CONCATENATE("605942704","")</f>
        <v>605942704</v>
      </c>
      <c r="G1031" t="s">
        <v>1808</v>
      </c>
      <c r="H1031" t="s">
        <v>1815</v>
      </c>
      <c r="I1031" t="s">
        <v>1816</v>
      </c>
      <c r="J1031" t="str">
        <f t="shared" si="119"/>
        <v>081208</v>
      </c>
      <c r="K1031" t="s">
        <v>22</v>
      </c>
      <c r="L1031" t="s">
        <v>23</v>
      </c>
      <c r="M1031" t="str">
        <f>CONCATENATE("1","")</f>
        <v>1</v>
      </c>
      <c r="O1031" t="str">
        <f t="shared" si="118"/>
        <v xml:space="preserve">1 </v>
      </c>
      <c r="P1031">
        <v>43.35</v>
      </c>
      <c r="Q1031" t="s">
        <v>24</v>
      </c>
    </row>
    <row r="1032" spans="1:17" x14ac:dyDescent="0.25">
      <c r="A1032" t="s">
        <v>17</v>
      </c>
      <c r="B1032" s="1">
        <v>41718</v>
      </c>
      <c r="C1032" t="s">
        <v>1772</v>
      </c>
      <c r="D1032" t="str">
        <f>CONCATENATE("0060007905","")</f>
        <v>0060007905</v>
      </c>
      <c r="E1032" t="str">
        <f>CONCATENATE("0121222000250       ","")</f>
        <v xml:space="preserve">0121222000250       </v>
      </c>
      <c r="F1032" t="str">
        <f>CONCATENATE("00000002323","")</f>
        <v>00000002323</v>
      </c>
      <c r="G1032" t="s">
        <v>1808</v>
      </c>
      <c r="H1032" t="s">
        <v>1817</v>
      </c>
      <c r="I1032" t="s">
        <v>1810</v>
      </c>
      <c r="J1032" t="str">
        <f t="shared" si="119"/>
        <v>081208</v>
      </c>
      <c r="K1032" t="s">
        <v>22</v>
      </c>
      <c r="L1032" t="s">
        <v>23</v>
      </c>
      <c r="M1032" t="str">
        <f>CONCATENATE("1","")</f>
        <v>1</v>
      </c>
      <c r="O1032" t="str">
        <f t="shared" si="118"/>
        <v xml:space="preserve">1 </v>
      </c>
      <c r="P1032">
        <v>28.6</v>
      </c>
      <c r="Q1032" t="s">
        <v>24</v>
      </c>
    </row>
    <row r="1033" spans="1:17" x14ac:dyDescent="0.25">
      <c r="A1033" t="s">
        <v>17</v>
      </c>
      <c r="B1033" s="1">
        <v>41718</v>
      </c>
      <c r="C1033" t="s">
        <v>1772</v>
      </c>
      <c r="D1033" t="str">
        <f>CONCATENATE("0060007914","")</f>
        <v>0060007914</v>
      </c>
      <c r="E1033" t="str">
        <f>CONCATENATE("0121222000340       ","")</f>
        <v xml:space="preserve">0121222000340       </v>
      </c>
      <c r="F1033" t="str">
        <f>CONCATENATE("605942721","")</f>
        <v>605942721</v>
      </c>
      <c r="G1033" t="s">
        <v>1808</v>
      </c>
      <c r="H1033" t="s">
        <v>1818</v>
      </c>
      <c r="I1033" t="s">
        <v>1816</v>
      </c>
      <c r="J1033" t="str">
        <f t="shared" si="119"/>
        <v>081208</v>
      </c>
      <c r="K1033" t="s">
        <v>22</v>
      </c>
      <c r="L1033" t="s">
        <v>23</v>
      </c>
      <c r="M1033" t="str">
        <f>CONCATENATE("1","")</f>
        <v>1</v>
      </c>
      <c r="O1033" t="str">
        <f t="shared" si="118"/>
        <v xml:space="preserve">1 </v>
      </c>
      <c r="P1033">
        <v>54.3</v>
      </c>
      <c r="Q1033" t="s">
        <v>24</v>
      </c>
    </row>
    <row r="1034" spans="1:17" x14ac:dyDescent="0.25">
      <c r="A1034" t="s">
        <v>17</v>
      </c>
      <c r="B1034" s="1">
        <v>41718</v>
      </c>
      <c r="C1034" t="s">
        <v>1772</v>
      </c>
      <c r="D1034" t="str">
        <f>CONCATENATE("0060012292","")</f>
        <v>0060012292</v>
      </c>
      <c r="E1034" t="str">
        <f>CONCATENATE("0121222000466       ","")</f>
        <v xml:space="preserve">0121222000466       </v>
      </c>
      <c r="F1034" t="str">
        <f>CONCATENATE("7033544","")</f>
        <v>7033544</v>
      </c>
      <c r="G1034" t="s">
        <v>1808</v>
      </c>
      <c r="H1034" t="s">
        <v>1819</v>
      </c>
      <c r="I1034" t="s">
        <v>1810</v>
      </c>
      <c r="J1034" t="str">
        <f t="shared" si="119"/>
        <v>081208</v>
      </c>
      <c r="K1034" t="s">
        <v>22</v>
      </c>
      <c r="L1034" t="s">
        <v>23</v>
      </c>
      <c r="M1034" t="str">
        <f>CONCATENATE("3","")</f>
        <v>3</v>
      </c>
      <c r="O1034" t="str">
        <f t="shared" si="118"/>
        <v xml:space="preserve">1 </v>
      </c>
      <c r="P1034">
        <v>731</v>
      </c>
      <c r="Q1034" t="s">
        <v>28</v>
      </c>
    </row>
    <row r="1035" spans="1:17" x14ac:dyDescent="0.25">
      <c r="A1035" t="s">
        <v>17</v>
      </c>
      <c r="B1035" s="1">
        <v>41718</v>
      </c>
      <c r="C1035" t="s">
        <v>1772</v>
      </c>
      <c r="D1035" t="str">
        <f>CONCATENATE("0060007923","")</f>
        <v>0060007923</v>
      </c>
      <c r="E1035" t="str">
        <f>CONCATENATE("0121222000470       ","")</f>
        <v xml:space="preserve">0121222000470       </v>
      </c>
      <c r="F1035" t="str">
        <f>CONCATENATE("00000001688","")</f>
        <v>00000001688</v>
      </c>
      <c r="G1035" t="s">
        <v>1808</v>
      </c>
      <c r="H1035" t="s">
        <v>1820</v>
      </c>
      <c r="I1035" t="s">
        <v>1810</v>
      </c>
      <c r="J1035" t="str">
        <f t="shared" si="119"/>
        <v>081208</v>
      </c>
      <c r="K1035" t="s">
        <v>22</v>
      </c>
      <c r="L1035" t="s">
        <v>23</v>
      </c>
      <c r="M1035" t="str">
        <f>CONCATENATE("1","")</f>
        <v>1</v>
      </c>
      <c r="O1035" t="str">
        <f t="shared" si="118"/>
        <v xml:space="preserve">1 </v>
      </c>
      <c r="P1035">
        <v>12.3</v>
      </c>
      <c r="Q1035" t="s">
        <v>24</v>
      </c>
    </row>
    <row r="1036" spans="1:17" x14ac:dyDescent="0.25">
      <c r="A1036" t="s">
        <v>17</v>
      </c>
      <c r="B1036" s="1">
        <v>41718</v>
      </c>
      <c r="C1036" t="s">
        <v>1772</v>
      </c>
      <c r="D1036" t="str">
        <f>CONCATENATE("0060014890","")</f>
        <v>0060014890</v>
      </c>
      <c r="E1036" t="str">
        <f>CONCATENATE("0121222001035       ","")</f>
        <v xml:space="preserve">0121222001035       </v>
      </c>
      <c r="F1036" t="str">
        <f>CONCATENATE("606030064","")</f>
        <v>606030064</v>
      </c>
      <c r="G1036" t="s">
        <v>1808</v>
      </c>
      <c r="H1036" t="s">
        <v>1821</v>
      </c>
      <c r="I1036" t="s">
        <v>1814</v>
      </c>
      <c r="J1036" t="str">
        <f t="shared" si="119"/>
        <v>081208</v>
      </c>
      <c r="K1036" t="s">
        <v>22</v>
      </c>
      <c r="L1036" t="s">
        <v>23</v>
      </c>
      <c r="M1036" t="str">
        <f>CONCATENATE("1","")</f>
        <v>1</v>
      </c>
      <c r="O1036" t="str">
        <f t="shared" si="118"/>
        <v xml:space="preserve">1 </v>
      </c>
      <c r="P1036">
        <v>160.85</v>
      </c>
      <c r="Q1036" t="s">
        <v>24</v>
      </c>
    </row>
    <row r="1037" spans="1:17" x14ac:dyDescent="0.25">
      <c r="A1037" t="s">
        <v>17</v>
      </c>
      <c r="B1037" s="1">
        <v>41718</v>
      </c>
      <c r="C1037" t="s">
        <v>1772</v>
      </c>
      <c r="D1037" t="str">
        <f>CONCATENATE("0060016229","")</f>
        <v>0060016229</v>
      </c>
      <c r="E1037" t="str">
        <f>CONCATENATE("0121225000367       ","")</f>
        <v xml:space="preserve">0121225000367       </v>
      </c>
      <c r="F1037" t="str">
        <f>CONCATENATE("1677414","")</f>
        <v>1677414</v>
      </c>
      <c r="G1037" t="s">
        <v>1822</v>
      </c>
      <c r="H1037" t="s">
        <v>1823</v>
      </c>
      <c r="I1037" t="s">
        <v>1824</v>
      </c>
      <c r="J1037" t="str">
        <f t="shared" si="119"/>
        <v>081208</v>
      </c>
      <c r="K1037" t="s">
        <v>22</v>
      </c>
      <c r="L1037" t="s">
        <v>23</v>
      </c>
      <c r="M1037" t="str">
        <f>CONCATENATE("1","")</f>
        <v>1</v>
      </c>
      <c r="O1037" t="str">
        <f t="shared" si="118"/>
        <v xml:space="preserve">1 </v>
      </c>
      <c r="P1037">
        <v>30.3</v>
      </c>
      <c r="Q1037" t="s">
        <v>24</v>
      </c>
    </row>
    <row r="1038" spans="1:17" x14ac:dyDescent="0.25">
      <c r="A1038" t="s">
        <v>17</v>
      </c>
      <c r="B1038" s="1">
        <v>41718</v>
      </c>
      <c r="C1038" t="s">
        <v>1772</v>
      </c>
      <c r="D1038" t="str">
        <f>CONCATENATE("0060009502","")</f>
        <v>0060009502</v>
      </c>
      <c r="E1038" t="str">
        <f>CONCATENATE("0121225000850       ","")</f>
        <v xml:space="preserve">0121225000850       </v>
      </c>
      <c r="F1038" t="str">
        <f>CONCATENATE("00554713","")</f>
        <v>00554713</v>
      </c>
      <c r="G1038" t="s">
        <v>1822</v>
      </c>
      <c r="H1038" t="s">
        <v>1825</v>
      </c>
      <c r="I1038" t="s">
        <v>1826</v>
      </c>
      <c r="J1038" t="str">
        <f t="shared" si="119"/>
        <v>081208</v>
      </c>
      <c r="K1038" t="s">
        <v>22</v>
      </c>
      <c r="L1038" t="s">
        <v>23</v>
      </c>
      <c r="M1038" t="str">
        <f>CONCATENATE("1","")</f>
        <v>1</v>
      </c>
      <c r="O1038" t="str">
        <f t="shared" si="118"/>
        <v xml:space="preserve">1 </v>
      </c>
      <c r="P1038">
        <v>22.85</v>
      </c>
      <c r="Q103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201402_CORTES_URCOS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Aydee Farfan Flores</dc:creator>
  <cp:lastModifiedBy>Aydee Farfan Flores</cp:lastModifiedBy>
  <dcterms:created xsi:type="dcterms:W3CDTF">2014-03-21T01:00:25Z</dcterms:created>
  <dcterms:modified xsi:type="dcterms:W3CDTF">2014-03-21T01:08:12Z</dcterms:modified>
</cp:coreProperties>
</file>