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7995" activeTab="0"/>
  </bookViews>
  <sheets>
    <sheet name="201504_CORTES_COMBAPATA" sheetId="1" r:id="rId1"/>
  </sheets>
  <definedNames>
    <definedName name="_xlnm._FilterDatabase" localSheetId="0" hidden="1">'201504_CORTES_COMBAPATA'!$A$1:$Q$949</definedName>
  </definedNames>
  <calcPr fullCalcOnLoad="1"/>
</workbook>
</file>

<file path=xl/sharedStrings.xml><?xml version="1.0" encoding="utf-8"?>
<sst xmlns="http://schemas.openxmlformats.org/spreadsheetml/2006/main" count="8538" uniqueCount="1911">
  <si>
    <t>CEMPRESA</t>
  </si>
  <si>
    <t>FEJEC</t>
  </si>
  <si>
    <t>DISFACT</t>
  </si>
  <si>
    <t>CODSUM</t>
  </si>
  <si>
    <t>CODRUTA</t>
  </si>
  <si>
    <t>NMEDIDOR</t>
  </si>
  <si>
    <t>SUBEST</t>
  </si>
  <si>
    <t>NOMBRE</t>
  </si>
  <si>
    <t>DIRECCION</t>
  </si>
  <si>
    <t>UBIGEO</t>
  </si>
  <si>
    <t>NTARIFA</t>
  </si>
  <si>
    <t>TIPOCONEX</t>
  </si>
  <si>
    <t>NUMFACONEX</t>
  </si>
  <si>
    <t>NTELEFONO</t>
  </si>
  <si>
    <t>NMESDEUDA</t>
  </si>
  <si>
    <t>MFACT</t>
  </si>
  <si>
    <t>TCORTEP</t>
  </si>
  <si>
    <t>ESE</t>
  </si>
  <si>
    <t>19/05/2015 12:00:00 a.m.</t>
  </si>
  <si>
    <t>ACOMAYO</t>
  </si>
  <si>
    <t>CO030140</t>
  </si>
  <si>
    <t>GAMARRA-TERRAZAS--WILFREDO</t>
  </si>
  <si>
    <t>AV-ESCALANTE---S-N</t>
  </si>
  <si>
    <t>BT5B</t>
  </si>
  <si>
    <t>Aerea</t>
  </si>
  <si>
    <t>CRBTA11</t>
  </si>
  <si>
    <t>BARRIENTOS-CHIPANA--ELENA</t>
  </si>
  <si>
    <t>AV-ESCALANTE-10</t>
  </si>
  <si>
    <t>LOAYZA-M-FEDERICO</t>
  </si>
  <si>
    <t>CO030657</t>
  </si>
  <si>
    <t>CARDENAS-JUAN-DE-LA</t>
  </si>
  <si>
    <t>RAMOS-CASTILLA---ACOMAYO</t>
  </si>
  <si>
    <t>CHOQUE-FIGUEROA-FREDY</t>
  </si>
  <si>
    <t>R--CASTILLA-736-ACOMAYO</t>
  </si>
  <si>
    <t>TERRAZAS-ARAGON--VICTOR</t>
  </si>
  <si>
    <t>JR-RAMON-CASTILLA-742</t>
  </si>
  <si>
    <t>CHOQUE--JUAN</t>
  </si>
  <si>
    <t>RAMON-CASTILLA--S-N</t>
  </si>
  <si>
    <t>GONZALES-QUISPE--LOURDES</t>
  </si>
  <si>
    <t>AV-ESCALANTE-S-N</t>
  </si>
  <si>
    <t>VEIZAGA-ANTONIA</t>
  </si>
  <si>
    <t>JR-LIMA---S-N</t>
  </si>
  <si>
    <t>COLLANTES-CANDIA--NELIDA</t>
  </si>
  <si>
    <t>JR-PUNO-S-N</t>
  </si>
  <si>
    <t>VALLE-QUISPE--FLORA</t>
  </si>
  <si>
    <t>JR-GONZALES-PRADA-S-N</t>
  </si>
  <si>
    <t>CRUZ-CHAVEZ--JUAN</t>
  </si>
  <si>
    <t>TOMASA-TTITO-CONDEMAYTA</t>
  </si>
  <si>
    <t>CO030141</t>
  </si>
  <si>
    <t>BAUTISTA-D-JUAN</t>
  </si>
  <si>
    <t>JR-LORETO---S-N</t>
  </si>
  <si>
    <t>TOROBEO-SURCO-MAX</t>
  </si>
  <si>
    <t>JR--LORETO-S-N</t>
  </si>
  <si>
    <t>HUAMAN-QUISPE--ALICIA</t>
  </si>
  <si>
    <t>TERRAZAS-GAMARRA--HECTOR</t>
  </si>
  <si>
    <t>CALLE-RAMON-CASTILLA-S-N</t>
  </si>
  <si>
    <t>CCALLUCO-CHOSEC--SERGIO</t>
  </si>
  <si>
    <t>PIZARRO-509</t>
  </si>
  <si>
    <t>IGLESIA-EVANGELICA-PERUANA</t>
  </si>
  <si>
    <t>JR--PIZARRO-S-N</t>
  </si>
  <si>
    <t>RAMOS-QUISPE-LUIS</t>
  </si>
  <si>
    <t>JR-SUCRE-222----ACOMAYO</t>
  </si>
  <si>
    <t>JIMENEZ-DE-Q-RICARDINA</t>
  </si>
  <si>
    <t>JR-COLON-119</t>
  </si>
  <si>
    <t>ESCALANTE-V-RAUL</t>
  </si>
  <si>
    <t>COLON---S-N</t>
  </si>
  <si>
    <t>MIRANDA-FIGUEROA--GRACIAN</t>
  </si>
  <si>
    <t>JR--COLON-S-N</t>
  </si>
  <si>
    <t>I-S-P-E-F-ACOMAYO</t>
  </si>
  <si>
    <t>JR-SAN-MARTIN---S-N</t>
  </si>
  <si>
    <t>JERI-ESCALANTE--EVELIN</t>
  </si>
  <si>
    <t>JR--PRADO-S-N</t>
  </si>
  <si>
    <t>TERAN-HUALLA--LUCRECIA</t>
  </si>
  <si>
    <t>CALLE-LA-TORRE-S-N-</t>
  </si>
  <si>
    <t>FERNANDEZ-PEDRO-P</t>
  </si>
  <si>
    <t>JR-KENEDI---S-N</t>
  </si>
  <si>
    <t>TITO-T-SEBASTIAN</t>
  </si>
  <si>
    <t>SONCCO-VASQUEZ--BENEDICTA</t>
  </si>
  <si>
    <t>JR-CUSCO-H1-8</t>
  </si>
  <si>
    <t>GAMARRA-YOHNY-LIVIA-</t>
  </si>
  <si>
    <t>LOPEZ-CAMPANA--PILAR</t>
  </si>
  <si>
    <t>JR--LIMA-N--341</t>
  </si>
  <si>
    <t>HUAMAN-CHACON--TEOFILO</t>
  </si>
  <si>
    <t>AA-HH-TOMASA-TTITO-COND-</t>
  </si>
  <si>
    <t>HUAMAN-HUAMAN--FELIX-BERNABE</t>
  </si>
  <si>
    <t>TOMASA-TTITO-CONDEMAYTA--D-5</t>
  </si>
  <si>
    <t>SALAS-ANDRADE--VICTORIA</t>
  </si>
  <si>
    <t>TOMASA-TITO-CONDEMAYTA-S-N</t>
  </si>
  <si>
    <t>NU-EZ-HUAMAN-CARMEN</t>
  </si>
  <si>
    <t>ACOS</t>
  </si>
  <si>
    <t>CO030321</t>
  </si>
  <si>
    <t>FUENTES-VDA-DELGADO-LAURA</t>
  </si>
  <si>
    <t>COMUN-SIMPPI-ACOMAYO</t>
  </si>
  <si>
    <t>CO030649</t>
  </si>
  <si>
    <t>COM--LLANSAPACHACCA</t>
  </si>
  <si>
    <t>AYMA-MORALES--YRENEO</t>
  </si>
  <si>
    <t>COM--LLANSAPACHACA</t>
  </si>
  <si>
    <t>CO031026</t>
  </si>
  <si>
    <t>CUTIPA-AYMA--MARIA</t>
  </si>
  <si>
    <t>SECTOR-CHORRILLOS-TACASI-S-N</t>
  </si>
  <si>
    <t>CHAVEZ-BAEZ--BACILIA</t>
  </si>
  <si>
    <t>HUILLCA-AYMA--MARCOS</t>
  </si>
  <si>
    <t>CO030251</t>
  </si>
  <si>
    <t>SONCCO-HUAMAN--CARLOS</t>
  </si>
  <si>
    <t>COM--HUASCAR-ACOMAYO</t>
  </si>
  <si>
    <t>CCONCHOY-V--ROSALIO</t>
  </si>
  <si>
    <t>COM--HUASCAR</t>
  </si>
  <si>
    <t>QQUECCANO-VASQUEZ-SERGIO</t>
  </si>
  <si>
    <t>GUZMAN-GAMARRA-MARIO</t>
  </si>
  <si>
    <t>COMUNIDAD--HUASCAR</t>
  </si>
  <si>
    <t>LOAIZA-DE-H-JULIA</t>
  </si>
  <si>
    <t>B-UNURAQUI-HUASCAR</t>
  </si>
  <si>
    <t>DIAZ-MAMANI-AGUSTIN</t>
  </si>
  <si>
    <t>COMUNIDAD-HUASCAR</t>
  </si>
  <si>
    <t>HUAMAN-TTITO-EUSEBIO</t>
  </si>
  <si>
    <t>GUZMAN-RAMOS--JULIO-CESAR</t>
  </si>
  <si>
    <t>BARRIO-CENTRO--HUASCAR-S-N</t>
  </si>
  <si>
    <t>CO030138</t>
  </si>
  <si>
    <t>MALDONADO-CCOA--FELIPE</t>
  </si>
  <si>
    <t>COM-PITUMARCA-I</t>
  </si>
  <si>
    <t>TANCA-QUISPE--JACINTO</t>
  </si>
  <si>
    <t>COMUNIDAD-PITUMARCA</t>
  </si>
  <si>
    <t>COMT-MOLINEROS-PRONAMACHS</t>
  </si>
  <si>
    <t>COM-PITUMARCA-S-N</t>
  </si>
  <si>
    <t>CRBTA31</t>
  </si>
  <si>
    <t>HUAYTA-QUISPE-BERNARDINO</t>
  </si>
  <si>
    <t>COM--PITUMARCA-ACOMAYO</t>
  </si>
  <si>
    <t>PITUMARCA</t>
  </si>
  <si>
    <t>TORRES-PAUCAR--GRACIELA</t>
  </si>
  <si>
    <t>C-C--PITUMARCA-BARRIO-SANTA-AN</t>
  </si>
  <si>
    <t>TANCA-CHUQUITAPA--FELICIANA</t>
  </si>
  <si>
    <t>COM-PITUMARCA---I---S-N</t>
  </si>
  <si>
    <t>CO030139</t>
  </si>
  <si>
    <t>APAZA-MALDONADO-JOSE</t>
  </si>
  <si>
    <t>COM--PITUMARCA</t>
  </si>
  <si>
    <t>AYMA-CHOQUE-BASILIO</t>
  </si>
  <si>
    <t>TORRES-CCCOA-MARTIN</t>
  </si>
  <si>
    <t>SANGARARA</t>
  </si>
  <si>
    <t>CO030120</t>
  </si>
  <si>
    <t>NOLASCO-R--PERFECTO</t>
  </si>
  <si>
    <t>CARRETERA-PRINCIPAL</t>
  </si>
  <si>
    <t>LOPEZ-MAMANI--GUILLERMO</t>
  </si>
  <si>
    <t>LAGUNA-AZUL-COM-YANANPAMPA-S-N</t>
  </si>
  <si>
    <t>INCA-E-NORMA</t>
  </si>
  <si>
    <t>YANAMPAMPA---S-N</t>
  </si>
  <si>
    <t>QUISPE-CRUZ-DEMETRIO</t>
  </si>
  <si>
    <t>YANAMPAMPA-S-N</t>
  </si>
  <si>
    <t>VALDIVIA-C--ENMA</t>
  </si>
  <si>
    <t>CO030122</t>
  </si>
  <si>
    <t>LOPEZ-SANKCA--SERAPIO</t>
  </si>
  <si>
    <t>BOLOGNESI</t>
  </si>
  <si>
    <t>CO031382</t>
  </si>
  <si>
    <t>QUISPE-HUAMAN--SANTOS</t>
  </si>
  <si>
    <t>ACCHA-ACCHA</t>
  </si>
  <si>
    <t>AYMA-HUILLCA--GUILLERMO</t>
  </si>
  <si>
    <t>CO031376</t>
  </si>
  <si>
    <t>TTUPA-CONDORI--MARCELINO</t>
  </si>
  <si>
    <t>SECT--CANCHA-CANCHA</t>
  </si>
  <si>
    <t>CONDORI-CONDORI--ELIAS</t>
  </si>
  <si>
    <t>CO031373</t>
  </si>
  <si>
    <t>QUISPE-QUISPE--JUAN</t>
  </si>
  <si>
    <t>HUADHUA</t>
  </si>
  <si>
    <t>CO031371</t>
  </si>
  <si>
    <t>QUISPE-PUMAHUILLCA--ALEJANDRO</t>
  </si>
  <si>
    <t>TUCUMARCA</t>
  </si>
  <si>
    <t>ACOPIA</t>
  </si>
  <si>
    <t>CO030119</t>
  </si>
  <si>
    <t>DELGADO-LUZA--EFRAIN</t>
  </si>
  <si>
    <t>JR-PASION-116</t>
  </si>
  <si>
    <t>YAURI-C-BENITO</t>
  </si>
  <si>
    <t>LORETO-S-N-</t>
  </si>
  <si>
    <t>CHAMPI-MAMANI--JESUS</t>
  </si>
  <si>
    <t>AV-MIGUEL-ANGEL-HURTADO-S-N</t>
  </si>
  <si>
    <t>MERMA-EDUARDA</t>
  </si>
  <si>
    <t>A-M-HURTADO---S-N</t>
  </si>
  <si>
    <t>AYMA-MAMANI-DOMINGA</t>
  </si>
  <si>
    <t>RODRIGO-MOLINA-S-N</t>
  </si>
  <si>
    <t>SUMA-JESUSA</t>
  </si>
  <si>
    <t>REAL-S-N-</t>
  </si>
  <si>
    <t>CO030117</t>
  </si>
  <si>
    <t>MAMANI-RUFINA</t>
  </si>
  <si>
    <t>SECTOR-STO-DOMINGO---S-N</t>
  </si>
  <si>
    <t>IGLESIA-CATOLICA</t>
  </si>
  <si>
    <t>PLAZA-PRINCIPAL-S-N</t>
  </si>
  <si>
    <t>CCAHUANA-CCASA--WILFREDO</t>
  </si>
  <si>
    <t>AV--LOS-ANGELES-S-N</t>
  </si>
  <si>
    <t>PEZO-NINA--MARIO</t>
  </si>
  <si>
    <t>SECTOR-PILLITINA-SANTO-DOMINGO</t>
  </si>
  <si>
    <t>MOSOC LLACTA</t>
  </si>
  <si>
    <t>CO020071</t>
  </si>
  <si>
    <t>C-E--56374</t>
  </si>
  <si>
    <t>TTACTABAMBA---S-N</t>
  </si>
  <si>
    <t>CO030144</t>
  </si>
  <si>
    <t>VILLA-HUACAC--JUAN-DE-DIOS</t>
  </si>
  <si>
    <t>CALLE-BOLIVAR---S-N</t>
  </si>
  <si>
    <t>PATILLA-C---EMILIANO</t>
  </si>
  <si>
    <t>TTITO-CONDEMAYTA</t>
  </si>
  <si>
    <t>CHARCA-E-JOSE</t>
  </si>
  <si>
    <t>TOMASA-TT-COND----S-N</t>
  </si>
  <si>
    <t>LASTEROS-H-LUIS</t>
  </si>
  <si>
    <t>FINLANDIA---S-N</t>
  </si>
  <si>
    <t>VILLENA-O-ROSALIA</t>
  </si>
  <si>
    <t>PIEROLA---S-N</t>
  </si>
  <si>
    <t>HUANAC-LUCIANO</t>
  </si>
  <si>
    <t>VALVERDE-HUAMANI--MARTIN</t>
  </si>
  <si>
    <t>PUMACAHUA--K-4</t>
  </si>
  <si>
    <t>LLANOS-QUISPE--EUFROSINA</t>
  </si>
  <si>
    <t>C--PARDO-S-N</t>
  </si>
  <si>
    <t>VERA-M-VALENTIN</t>
  </si>
  <si>
    <t>BOLIVAR-S-N-</t>
  </si>
  <si>
    <t>GAMARRA-GUERRA--MARGARITA</t>
  </si>
  <si>
    <t>CALLE-PIORELA-S-N</t>
  </si>
  <si>
    <t>TRUJILLO-H-ANGEL</t>
  </si>
  <si>
    <t>JR-BOLOGNESI---S-N</t>
  </si>
  <si>
    <t>BACA-M-PASCUALA</t>
  </si>
  <si>
    <t>LIMA---S-N</t>
  </si>
  <si>
    <t>HUACAC-H-JUANA</t>
  </si>
  <si>
    <t>CAJAMARCA--S-N</t>
  </si>
  <si>
    <t>COMUNIDAD-ACOS</t>
  </si>
  <si>
    <t>PLAZA-DE-ARMAS</t>
  </si>
  <si>
    <t>HERRERA-T--JOSE</t>
  </si>
  <si>
    <t>PLAZA-DE-ARMAS-S-N</t>
  </si>
  <si>
    <t>TARCO-HUACCAC--ENCARNACION</t>
  </si>
  <si>
    <t>PROLG-TOMASA-TITO-CONDEMAYTA-S</t>
  </si>
  <si>
    <t>RIOS-OSCCOHUAMAN--WALTER</t>
  </si>
  <si>
    <t>VILLENA-HUANEC--RENE</t>
  </si>
  <si>
    <t>MARTINEZ-OLABARRERA--TIBURCIO</t>
  </si>
  <si>
    <t>AV--FINLANDIA</t>
  </si>
  <si>
    <t>ESCALANTE-DE-CJURO--CONCEPCION</t>
  </si>
  <si>
    <t>CALLE-FILANDIA-S-N-ACOS</t>
  </si>
  <si>
    <t>CACERES-H-AVELINO</t>
  </si>
  <si>
    <t>PUMACAHUA-S-N-</t>
  </si>
  <si>
    <t>CO030143</t>
  </si>
  <si>
    <t>LEON-QUINTANO--RONAL</t>
  </si>
  <si>
    <t>COMUN-CHACCO</t>
  </si>
  <si>
    <t>BARRAZA-TISNADO--JULIAN</t>
  </si>
  <si>
    <t>COM--CHACCO-</t>
  </si>
  <si>
    <t>ARO-R-VICENTE</t>
  </si>
  <si>
    <t>CHACO-S-N-</t>
  </si>
  <si>
    <t>CO030369</t>
  </si>
  <si>
    <t>OLABARRERA-R-RUPERTO</t>
  </si>
  <si>
    <t>COM-HUAYQUI</t>
  </si>
  <si>
    <t>TINTA-V-BASILEDES</t>
  </si>
  <si>
    <t>CO030754</t>
  </si>
  <si>
    <t>LIMA-PARIGUANA--CONSTANTINO</t>
  </si>
  <si>
    <t>ANEXO-CHILLCAPATA---LLANSACORM</t>
  </si>
  <si>
    <t>CO030767</t>
  </si>
  <si>
    <t>AYMA-GAMARRA--MARIO</t>
  </si>
  <si>
    <t>ANEXO-CHALANIA-MATE-S-N</t>
  </si>
  <si>
    <t>CO030769</t>
  </si>
  <si>
    <t>HUAMAN-VALDEYGLICIAS--DAMASO</t>
  </si>
  <si>
    <t>PERCCA-S-N</t>
  </si>
  <si>
    <t>CO030114</t>
  </si>
  <si>
    <t>ACHA-PUMA-Y-JULIO</t>
  </si>
  <si>
    <t>APURIMAC---S-N</t>
  </si>
  <si>
    <t>CCORAHUA-VILCA--HIPOLITO</t>
  </si>
  <si>
    <t>RAMON-CASTILLA-S-N</t>
  </si>
  <si>
    <t>CARBAJAL-ACHAPUMA--CELEDONIA</t>
  </si>
  <si>
    <t>TUPAC-AMARU-S-N</t>
  </si>
  <si>
    <t>ACHAPUMA-SONCCO--MACARIO</t>
  </si>
  <si>
    <t>SAN-MARTIN-S-N</t>
  </si>
  <si>
    <t>SOTO-HACHAPUMA--QUINTIN</t>
  </si>
  <si>
    <t>SAN-MARTIN--S-N-MOSOCLLACTA</t>
  </si>
  <si>
    <t>INSTITUCION-EDUCATIVA-INICIAL-</t>
  </si>
  <si>
    <t>CASA-COMUNAL-MOSOCLLACTA</t>
  </si>
  <si>
    <t>SECTOR-MAHUAYPAMPA-S-N</t>
  </si>
  <si>
    <t>CO031948</t>
  </si>
  <si>
    <t>I-E-N--56136-TTUMI</t>
  </si>
  <si>
    <t>COM--TTUMI-S-N</t>
  </si>
  <si>
    <t>MAMANI-V-TELESFORO</t>
  </si>
  <si>
    <t>THUME</t>
  </si>
  <si>
    <t>MAMANI-M--NASARIO</t>
  </si>
  <si>
    <t>THUMI</t>
  </si>
  <si>
    <t>TUPAC AMARU</t>
  </si>
  <si>
    <t>CO030503</t>
  </si>
  <si>
    <t>CENTRO-EDUCATIVO--INICIAL-509</t>
  </si>
  <si>
    <t>COM-CCOCHAPATA-S-N</t>
  </si>
  <si>
    <t>CO030502</t>
  </si>
  <si>
    <t>CUTI-SAICO-CLEMENTE</t>
  </si>
  <si>
    <t>BARRIO-ROSASPATA</t>
  </si>
  <si>
    <t>C-SECUNDARIO-CCOCHAPATA</t>
  </si>
  <si>
    <t>COM-CCOCHAPATA</t>
  </si>
  <si>
    <t>CO030496</t>
  </si>
  <si>
    <t>ARO-MENDOZA-EDGAR</t>
  </si>
  <si>
    <t>B-MIRAFLORES-S-N</t>
  </si>
  <si>
    <t>CO030493</t>
  </si>
  <si>
    <t>QUISPE-AYMA-GENARO</t>
  </si>
  <si>
    <t>COM-HUAYLLUTA-S-N</t>
  </si>
  <si>
    <t>C-E-56360-HUAYLLUTA</t>
  </si>
  <si>
    <t>CO030445</t>
  </si>
  <si>
    <t>C-E-56147-TOCCOCCORI</t>
  </si>
  <si>
    <t>COM--TOCCOCCORI</t>
  </si>
  <si>
    <t>CHUQUIHUANCA-HUAMANRAYME--JOSE</t>
  </si>
  <si>
    <t>CO030042</t>
  </si>
  <si>
    <t>QUISPE-ZARATE--PEDRO</t>
  </si>
  <si>
    <t>SURIMANA-TICTACANI---LT--01</t>
  </si>
  <si>
    <t>QUISPE-MONTALVO--ELIAS</t>
  </si>
  <si>
    <t>SURIMANA-TICTACANI--LT--13</t>
  </si>
  <si>
    <t>CO031949</t>
  </si>
  <si>
    <t>I-E-SECUNDARIA-INKA-TUPAC-AMAR</t>
  </si>
  <si>
    <t>ENRIQUEZ-CASTRO--TEOFILO</t>
  </si>
  <si>
    <t>C-P-SURIMANA-S-N</t>
  </si>
  <si>
    <t>LIVITACA</t>
  </si>
  <si>
    <t>CO030666</t>
  </si>
  <si>
    <t>MELENDEZ-BELTRAN--DEMETRIO-HON</t>
  </si>
  <si>
    <t>COM--TOTORA</t>
  </si>
  <si>
    <t>CO030736</t>
  </si>
  <si>
    <t>I-E--SECUNDARIA-SAN-BARTOLOME</t>
  </si>
  <si>
    <t>C-C-PATAQUE-A</t>
  </si>
  <si>
    <t>CO030737</t>
  </si>
  <si>
    <t>I-E-56283-JALLCO</t>
  </si>
  <si>
    <t>COM-JALCCO-S-N</t>
  </si>
  <si>
    <t>CALDERON-HUAMANI--URBANA</t>
  </si>
  <si>
    <t>COM--JALLCO</t>
  </si>
  <si>
    <t>HUAMANE-CAYLLAHUA--VICTOR</t>
  </si>
  <si>
    <t>QUISPE-QUISPE--MARCELINO</t>
  </si>
  <si>
    <t>POMACANCHI</t>
  </si>
  <si>
    <t>CO030134</t>
  </si>
  <si>
    <t>LUNA-M-PALEMON</t>
  </si>
  <si>
    <t>BOLOGNESI--S-N</t>
  </si>
  <si>
    <t>HURTADO-HUAMAN--TEOFILO</t>
  </si>
  <si>
    <t>BOLOGNESI-S-N</t>
  </si>
  <si>
    <t>CAJAVILCA-CHAVES-LUIS</t>
  </si>
  <si>
    <t>CLLE-PERU-POMACANCHI</t>
  </si>
  <si>
    <t>FARFAN-NOGUERA--FLAVIO</t>
  </si>
  <si>
    <t>PLAZA-DE-ARMAS--S-N</t>
  </si>
  <si>
    <t>PACCHA-SUTTA--JULIO</t>
  </si>
  <si>
    <t>CALLE-UNION-S-N</t>
  </si>
  <si>
    <t>CCAHUANA-SUTTA--FELIPA</t>
  </si>
  <si>
    <t>C--UNION-MANZANA--X11</t>
  </si>
  <si>
    <t>PFU-O-MIRANO--ROSALIO</t>
  </si>
  <si>
    <t>CULTURA--S-N</t>
  </si>
  <si>
    <t>CO030135</t>
  </si>
  <si>
    <t>MARQUEZ-CHOQQUEMAMANI--HILARIO</t>
  </si>
  <si>
    <t>TUPAC-AMARU-S-N-POMACANCH</t>
  </si>
  <si>
    <t>CAHUAYA-CLORINDA</t>
  </si>
  <si>
    <t>TUPAC-AMARU--S-N</t>
  </si>
  <si>
    <t>QUECCANO-VALENTIN</t>
  </si>
  <si>
    <t>UNION--S-N</t>
  </si>
  <si>
    <t>CO030132</t>
  </si>
  <si>
    <t>QUISPE-HUAMANI--CIRILO</t>
  </si>
  <si>
    <t>CALLE-LIMA-S-N</t>
  </si>
  <si>
    <t>QUISPICHO-MARQUEZ--LUZMILA</t>
  </si>
  <si>
    <t>MANCO-CAPAC---POMACANCHI</t>
  </si>
  <si>
    <t>CO031252</t>
  </si>
  <si>
    <t>VILLAFUERTE-A-ADAN</t>
  </si>
  <si>
    <t>JR-M-CASTILLA---S-N</t>
  </si>
  <si>
    <t>BERNO-PUMACHAPI--ELIAS</t>
  </si>
  <si>
    <t>QUISPICHU-GRACIELA</t>
  </si>
  <si>
    <t>RETIRO-S-N</t>
  </si>
  <si>
    <t>CONZA-PUMACHAPI--FRANCISCA</t>
  </si>
  <si>
    <t>CALLE--BELLAS-ARTES-S-N</t>
  </si>
  <si>
    <t>MIRANO-T--TORIBIO</t>
  </si>
  <si>
    <t>AREQUIPA-870</t>
  </si>
  <si>
    <t>JUACHIN-MIRANO-HILDA</t>
  </si>
  <si>
    <t>JR-AREQUIPA-881</t>
  </si>
  <si>
    <t>MIRANO-VICTOR--NN</t>
  </si>
  <si>
    <t>TRUJILLO--S-N</t>
  </si>
  <si>
    <t>LABRA-TTITO--ALFONSO</t>
  </si>
  <si>
    <t>CUSCO-978</t>
  </si>
  <si>
    <t>MIRANO-KCALA-MATEO</t>
  </si>
  <si>
    <t>TACNA-S-N</t>
  </si>
  <si>
    <t>FARFAN-ZEVALLOS--EMILIO</t>
  </si>
  <si>
    <t>CUSCO-NRO-887--POMACANCHI</t>
  </si>
  <si>
    <t>TACURI-MENDOZA--MARIO</t>
  </si>
  <si>
    <t>MARISCAL-CASTILLA-S-N</t>
  </si>
  <si>
    <t>FERNANDEZ-CHOQUE--DANIEL</t>
  </si>
  <si>
    <t>MERMA-PAULO--SIMONA</t>
  </si>
  <si>
    <t>TERAN-CLIMACO</t>
  </si>
  <si>
    <t>GARCILAZO--S-N</t>
  </si>
  <si>
    <t>I-S-P-POMACANCHI</t>
  </si>
  <si>
    <t>SAN-ROQUE-S-N</t>
  </si>
  <si>
    <t>CO031310</t>
  </si>
  <si>
    <t>QUISPE-ZAMORA--TITO</t>
  </si>
  <si>
    <t>COM--CANCHANURA-S-N-POMACANCHI</t>
  </si>
  <si>
    <t>CO031309</t>
  </si>
  <si>
    <t>HUARANCCA-CHUMPI--NICANOR</t>
  </si>
  <si>
    <t>CHORACCA-ALTA</t>
  </si>
  <si>
    <t>CO031308</t>
  </si>
  <si>
    <t>I-E--N--50979-CHORACCA</t>
  </si>
  <si>
    <t>PARCIALIDAD-CHORACCA</t>
  </si>
  <si>
    <t>CO031307</t>
  </si>
  <si>
    <t>HUALLPA-QUISPE--JUAN</t>
  </si>
  <si>
    <t>COM--SAN-JUAN-SECT--TOMAYO-QOR</t>
  </si>
  <si>
    <t>VILLAFUERTE-ALVAREZ--SOLEDAD-A</t>
  </si>
  <si>
    <t>SECTOR-TOMAYCO-COMUNIDAD-SAN-J</t>
  </si>
  <si>
    <t>VILLAFUERTE-ALVAREZ--IVAN</t>
  </si>
  <si>
    <t>COM--SAN-JUAN--SECT--TOMAYCO</t>
  </si>
  <si>
    <t>SULLCA-VARGAS--ORESTES-AGRIPIN</t>
  </si>
  <si>
    <t>COM--SAN-JUAN-SECTOR-TOMAYCO-Q</t>
  </si>
  <si>
    <t>COM--SAN-JUAN-SECT--TOMAYCO-QO</t>
  </si>
  <si>
    <t>SULLCA-PE-A--FORTUNATO</t>
  </si>
  <si>
    <t>COM--SAN-JUAN-SECT--TOMAYCO-CO</t>
  </si>
  <si>
    <t>CHARCA-DE-MAMANI--INES</t>
  </si>
  <si>
    <t>SECT-CHOQUIPOQYO-COM--SAN-JUAN</t>
  </si>
  <si>
    <t>NINA-AQUINO--LEONCIO</t>
  </si>
  <si>
    <t>SECTOR-IHUENA--COMUNIDAD-SAN-J</t>
  </si>
  <si>
    <t>TACURI-APAZA--REMIGIO</t>
  </si>
  <si>
    <t>SECTOR--IHUENA---COM--SAN-JUAN</t>
  </si>
  <si>
    <t>AQUINO-PAULO--CIRO</t>
  </si>
  <si>
    <t>SECTOR-IHUENE-COMUNIDAD-SAN--J</t>
  </si>
  <si>
    <t>CHUCHULLO-MAMANI--TEODORO</t>
  </si>
  <si>
    <t>SECT--KERANIO-COM--SAN-JUAN</t>
  </si>
  <si>
    <t>CO031302</t>
  </si>
  <si>
    <t>RAMOS-HUAMAN--ALEJANDRINO-JESU</t>
  </si>
  <si>
    <t>COM-CANCHANURA-S-N</t>
  </si>
  <si>
    <t>HUAMAN-DIAZ--MARCELINO</t>
  </si>
  <si>
    <t>CANCHANURA</t>
  </si>
  <si>
    <t>CO030131</t>
  </si>
  <si>
    <t>ALVARO-SUTTA--MARTIN</t>
  </si>
  <si>
    <t>COMUNI-CONCHACALLA---S-N</t>
  </si>
  <si>
    <t>AYQUE-MAMANI-SANDRO</t>
  </si>
  <si>
    <t>COMUN-CONCHACALLA</t>
  </si>
  <si>
    <t>MERMA-PAULO-LUCIA</t>
  </si>
  <si>
    <t>COMUN-CONCHACALLQA</t>
  </si>
  <si>
    <t>CO030648</t>
  </si>
  <si>
    <t>HUAYTA-DE-SUTTA--CERILA</t>
  </si>
  <si>
    <t>CHALLA-S-N</t>
  </si>
  <si>
    <t>HUARACHI-AQUINO--BENEDICTA</t>
  </si>
  <si>
    <t>SAN-JUAN</t>
  </si>
  <si>
    <t>HUARANCA-HUILLCA--JULIAN</t>
  </si>
  <si>
    <t>LUNA-MOLINA--EDILBERTO</t>
  </si>
  <si>
    <t>OROS-LUNA--FRUCTUOSO</t>
  </si>
  <si>
    <t>SOTA-NINA--JESUS</t>
  </si>
  <si>
    <t>CJUNO-HUANTO--LUCIO</t>
  </si>
  <si>
    <t>C--RETRO-S-N-SAN-JUAN</t>
  </si>
  <si>
    <t>CO031315</t>
  </si>
  <si>
    <t>MU-OZ-CHOQUEPUMA--MAURO</t>
  </si>
  <si>
    <t>SANTA-LUCIA-1</t>
  </si>
  <si>
    <t>LUNA-CCOTO--AURELIA</t>
  </si>
  <si>
    <t>CO031316</t>
  </si>
  <si>
    <t>NINA-HUANCA--VICENTE</t>
  </si>
  <si>
    <t>TTITO-SONCCO--CELSO</t>
  </si>
  <si>
    <t>BARRIO-CCOLLANA-S-N-SANTA-LUCI</t>
  </si>
  <si>
    <t>YAURI-SONCCO--PABLO</t>
  </si>
  <si>
    <t>SANTA-LUCIA-2</t>
  </si>
  <si>
    <t>CCORIMANYA-QUISPE--MACNI</t>
  </si>
  <si>
    <t>BELTRAN-LEON--ANDRES</t>
  </si>
  <si>
    <t>COM--SANTA-LUCIA---POMACANCHI</t>
  </si>
  <si>
    <t>CO031313</t>
  </si>
  <si>
    <t>I-E-N-50082-TOCCORANI</t>
  </si>
  <si>
    <t>C-C-TOCCORANI---POMACANCHI</t>
  </si>
  <si>
    <t>CO031304</t>
  </si>
  <si>
    <t>ZARATE-PE-A--FABIAN</t>
  </si>
  <si>
    <t>SAYHUA</t>
  </si>
  <si>
    <t>INSTITUCION-EDUCATIVA-N--50081</t>
  </si>
  <si>
    <t>C-C--SAYHUA-S-N</t>
  </si>
  <si>
    <t>CO031305</t>
  </si>
  <si>
    <t>APAZA-GUTIERREZ--LUIS</t>
  </si>
  <si>
    <t>SAYAC-RUMI</t>
  </si>
  <si>
    <t>MAMANI-TUNQUIPA--ASUNTA</t>
  </si>
  <si>
    <t>COM--SAYAC-RUMI--POMACANCHI</t>
  </si>
  <si>
    <t>CO031314</t>
  </si>
  <si>
    <t>CUADROS-LOAIZA--IGNACIO</t>
  </si>
  <si>
    <t>SANTA-ANA</t>
  </si>
  <si>
    <t>CUADROS-PUMA--EDUARDO</t>
  </si>
  <si>
    <t>CUADROS--LOAIZA--SERAPIO</t>
  </si>
  <si>
    <t>CO030136</t>
  </si>
  <si>
    <t>I-S-T-P-A-SANGARARA</t>
  </si>
  <si>
    <t>VILCA-CHARALLA--LUCIO</t>
  </si>
  <si>
    <t>AV-18-DE-NOVIEMBRE-Y2-2</t>
  </si>
  <si>
    <t>FIGUEROA-ALATA--MODESTA</t>
  </si>
  <si>
    <t>BARRIO-SAN-SEBASTIAN--I-14</t>
  </si>
  <si>
    <t>QUENTER-S-N</t>
  </si>
  <si>
    <t>SALAZAR-C-MODESTO</t>
  </si>
  <si>
    <t>E-TAPIA-15</t>
  </si>
  <si>
    <t>CO030137</t>
  </si>
  <si>
    <t>LUNA-FERNANDEZ--HERBERT</t>
  </si>
  <si>
    <t>AV--TUPAC-AMARU-S-N</t>
  </si>
  <si>
    <t>CASTRO-F-SANTIAGO</t>
  </si>
  <si>
    <t>GARCILASO---S-N</t>
  </si>
  <si>
    <t>CO030123</t>
  </si>
  <si>
    <t>PUMA-JIMENEZ--JOSE</t>
  </si>
  <si>
    <t>AV-SOL--S-N</t>
  </si>
  <si>
    <t>CO030126</t>
  </si>
  <si>
    <t>QUISPE-TTITO-FIDEL</t>
  </si>
  <si>
    <t>BELEN-S-N</t>
  </si>
  <si>
    <t>CO030125</t>
  </si>
  <si>
    <t>QUISPE-CORRALES--ANTONIO</t>
  </si>
  <si>
    <t>SAN-MARTIN--MARCACONGA</t>
  </si>
  <si>
    <t>ROJAS-DE-QUISPE--JOVITA-ELENA</t>
  </si>
  <si>
    <t>FERNANDO-BELAUNDE</t>
  </si>
  <si>
    <t>YANAOCA</t>
  </si>
  <si>
    <t>APAZA-ALATA-JAIME</t>
  </si>
  <si>
    <t>TUPAC-AMARU-S-N---YANAOCA</t>
  </si>
  <si>
    <t>RADO-ASUNCION</t>
  </si>
  <si>
    <t>AV--TUPAC-AMARU-S-N-YANAOCA</t>
  </si>
  <si>
    <t>CO030040</t>
  </si>
  <si>
    <t>CHURANA-YANA--JUDITH</t>
  </si>
  <si>
    <t>JANAMPA-T-LEONARDO-F-</t>
  </si>
  <si>
    <t>AV-TUPAC-AMARU-S-N</t>
  </si>
  <si>
    <t>I-S-T-TAYAPAMPA-YANAOCA</t>
  </si>
  <si>
    <t>CANTARILLA-MISKI-YANAOCA</t>
  </si>
  <si>
    <t>CUITO--ELEUTERIO</t>
  </si>
  <si>
    <t>APAZA-MAMANI--EMILIANO</t>
  </si>
  <si>
    <t>AV-TUPAC-AMARU-299</t>
  </si>
  <si>
    <t>CO030041</t>
  </si>
  <si>
    <t>C-E--INICIAL-YANAOCA</t>
  </si>
  <si>
    <t>TISOC--FORTUNATO</t>
  </si>
  <si>
    <t>CCOLQQUE-SACCATUMA--TEODORO-VI</t>
  </si>
  <si>
    <t>INDEPENDENCIA-S-N</t>
  </si>
  <si>
    <t>APAZA-PRIMITIVA</t>
  </si>
  <si>
    <t>AV--T-AMARU</t>
  </si>
  <si>
    <t>USE-CANAS--YANAOCA</t>
  </si>
  <si>
    <t>CRUZ-RADO-CESAR</t>
  </si>
  <si>
    <t>AREQUIPA-S-N</t>
  </si>
  <si>
    <t>HUALLPA-HUANCA--DOMINGA</t>
  </si>
  <si>
    <t>C-E--56107</t>
  </si>
  <si>
    <t>CALLE-BOLOGNESI-S-N</t>
  </si>
  <si>
    <t>LAROTA-SARAVIA-JUSTO</t>
  </si>
  <si>
    <t>PORVENIR-S-N-</t>
  </si>
  <si>
    <t>C-E--ESPECIAL-FRAY-MARTIN-DE-P</t>
  </si>
  <si>
    <t>COLON-S-N</t>
  </si>
  <si>
    <t>C-E--56106</t>
  </si>
  <si>
    <t>CO030928</t>
  </si>
  <si>
    <t>LOROTA-H--CARLOS</t>
  </si>
  <si>
    <t>PIEROLA-S-N</t>
  </si>
  <si>
    <t>CUITO-H--FEDERICO</t>
  </si>
  <si>
    <t>PIEROLA-127</t>
  </si>
  <si>
    <t>CONDORI-GOMEZ--FRANCISCO</t>
  </si>
  <si>
    <t>MARTINEZ-CABRERA--MARTHA</t>
  </si>
  <si>
    <t>JR--HIPOLITO-TUPAC-AMARU-S-N</t>
  </si>
  <si>
    <t>CCUITO-SOTO--ALEJANDRINA</t>
  </si>
  <si>
    <t>CALLE-SUCRE-S-N</t>
  </si>
  <si>
    <t>CCALLOQUISPE-HUANCA--SONIA</t>
  </si>
  <si>
    <t>AV--SUCRE-S-N</t>
  </si>
  <si>
    <t>LAROTA-SARAVIA--JUSTO</t>
  </si>
  <si>
    <t>BARRIO-SAN-ROQUE--CALLE-C--ROD</t>
  </si>
  <si>
    <t>PAUCCARA-MERMA--SHIRLEY</t>
  </si>
  <si>
    <t>BARRIO-SAN-ROQUE--CALLE-ALEGRI</t>
  </si>
  <si>
    <t>QUEHUE</t>
  </si>
  <si>
    <t>CO030368</t>
  </si>
  <si>
    <t>QUISPE-TAYPE--GUALBERTO-JOAQUI</t>
  </si>
  <si>
    <t>PUMA-CHULLO--TEODOCIA</t>
  </si>
  <si>
    <t>CALLE-SANTO-DOMINGO-S-N</t>
  </si>
  <si>
    <t>COMUNIDAD-C-CCOLLANA-Q-MO</t>
  </si>
  <si>
    <t>CCOLLANA-QQUEHUE</t>
  </si>
  <si>
    <t>ALTAMIRANO-LUDE-A--NELLY</t>
  </si>
  <si>
    <t>AV--PROGRESO-S-N</t>
  </si>
  <si>
    <t>CALLE-PROGRESO-S-N</t>
  </si>
  <si>
    <t>AYMA-PUMA-ANACLETO</t>
  </si>
  <si>
    <t>APURIMAC-S-N</t>
  </si>
  <si>
    <t>PUMA-MOELLE-LEOPOLDO</t>
  </si>
  <si>
    <t>CCARANAHUE-S-N</t>
  </si>
  <si>
    <t>SURCO-RUIZ--ISIDORA</t>
  </si>
  <si>
    <t>QUEHUE-S-N</t>
  </si>
  <si>
    <t>ENRIQUEZ-P-ALBERTO</t>
  </si>
  <si>
    <t>SIGLO-XX-S-N</t>
  </si>
  <si>
    <t>MONTA-EZ-CCOYORI--SEBASTIANA</t>
  </si>
  <si>
    <t>AV--SANTO-DOMINGO-S-N</t>
  </si>
  <si>
    <t>C--EDUCATIVO-INICIAL--QUEHUE-N</t>
  </si>
  <si>
    <t>TRES-DE-MAYO-S-N</t>
  </si>
  <si>
    <t>CO030467</t>
  </si>
  <si>
    <t>CONDO-A-JULIO-JACINTO</t>
  </si>
  <si>
    <t>SALVADOR--I</t>
  </si>
  <si>
    <t>I-E-INICIAL-496-NINO-SAN-SALVA</t>
  </si>
  <si>
    <t>COM-CHICNAYHUA-S-N</t>
  </si>
  <si>
    <t>LUQUE-H-CATALINA</t>
  </si>
  <si>
    <t>SALVADOR-I</t>
  </si>
  <si>
    <t>INSTITUCION-EDUCATIVA-56143-CH</t>
  </si>
  <si>
    <t>CO030469</t>
  </si>
  <si>
    <t>INSTITUCION-EDUCATIVA-56139-PU</t>
  </si>
  <si>
    <t>PUCA-PUCA-S-N</t>
  </si>
  <si>
    <t>CO030483</t>
  </si>
  <si>
    <t>ESQUIBEL-LOZANO-DE-VILCA--MARC</t>
  </si>
  <si>
    <t>SECTOR-HUINCHIRI-PAMPA</t>
  </si>
  <si>
    <t>CO030484</t>
  </si>
  <si>
    <t>C-E-56123-DE-HUINCHIRI</t>
  </si>
  <si>
    <t>COM-HUINCHIRI-S-N</t>
  </si>
  <si>
    <t>CO030478</t>
  </si>
  <si>
    <t>COMUNIDAD-MARCAYRE</t>
  </si>
  <si>
    <t>C-POBLADO-HAMPATURA-S-N</t>
  </si>
  <si>
    <t>CENTRO-DE-SALUD-HAMPATURA</t>
  </si>
  <si>
    <t>C--P-HAMPATURA-S-N</t>
  </si>
  <si>
    <t>EDUCACION-INICIAL-498--INSTITU</t>
  </si>
  <si>
    <t>P--M--HAMPATURA-S-N</t>
  </si>
  <si>
    <t>C-E-56109-C-T-I-A-</t>
  </si>
  <si>
    <t>COM-HAMPATURA</t>
  </si>
  <si>
    <t>CO030480</t>
  </si>
  <si>
    <t>INSTITUCION-EDUCATVO--NRO-5615</t>
  </si>
  <si>
    <t>ANEXO-CHIRUPAMPA</t>
  </si>
  <si>
    <t>CO030476</t>
  </si>
  <si>
    <t>CENTRO-EDUCATIVO-PUNA-VAQUERIA</t>
  </si>
  <si>
    <t>ANEXO-PUNA-VAQUERIA-S-N</t>
  </si>
  <si>
    <t>CO030485</t>
  </si>
  <si>
    <t>SALON-COMUNAL--CHUPUBANDA</t>
  </si>
  <si>
    <t>CENTRO-POBL---CHAUPIBANDA</t>
  </si>
  <si>
    <t>MUNICIPALIDAD-DEL-CENTRO-POBLA</t>
  </si>
  <si>
    <t>PLAZA-DE-ARMAS-S-N-C-P--CHAUPI</t>
  </si>
  <si>
    <t>C-E--56122-COLEG--INT-</t>
  </si>
  <si>
    <t>CENT-POBL-DE-CHAUPIBANDA</t>
  </si>
  <si>
    <t>ARMUTO-SURCO--SANTOS</t>
  </si>
  <si>
    <t>COM--CHAUPIBANDA</t>
  </si>
  <si>
    <t>CHECCA</t>
  </si>
  <si>
    <t>CO030487</t>
  </si>
  <si>
    <t>COLEGIO-ALTIVA-CANAS</t>
  </si>
  <si>
    <t>COM-CHITIBAMBA</t>
  </si>
  <si>
    <t>C--E-56160--DE-CHITIBAMBA</t>
  </si>
  <si>
    <t>COM-CHITIBAMBA-S-N</t>
  </si>
  <si>
    <t>CO030489</t>
  </si>
  <si>
    <t>HUANUCO-HUAYCHO--MAXIMO</t>
  </si>
  <si>
    <t>AV--BLAS-MEDRANO-JIMENEZ-S-N</t>
  </si>
  <si>
    <t>SAIRE-SUNI--ASCENCION</t>
  </si>
  <si>
    <t>COM--CONSABAMBA--QUEHUE</t>
  </si>
  <si>
    <t>HUAYCHO-QUISPE--DAMASO</t>
  </si>
  <si>
    <t>COM--CONSABAMBA</t>
  </si>
  <si>
    <t>PAMPAMARCA</t>
  </si>
  <si>
    <t>CO030107</t>
  </si>
  <si>
    <t>I-E-I--N--501-PABELLONES</t>
  </si>
  <si>
    <t>BARRIO-SAN-PEDRO-S-N</t>
  </si>
  <si>
    <t>CUTIRI-RAMON</t>
  </si>
  <si>
    <t>PRINCIPAL---S-N</t>
  </si>
  <si>
    <t>PUMA-R-ROSA</t>
  </si>
  <si>
    <t>CO030106</t>
  </si>
  <si>
    <t>HANCCO-CONDORI--PRIMITIVA</t>
  </si>
  <si>
    <t>ANEXO-IROMOCCO-S-N</t>
  </si>
  <si>
    <t>CO030479</t>
  </si>
  <si>
    <t>INSTITUCION-EDUCATIVA-56359</t>
  </si>
  <si>
    <t>COM-HUMAHUANAPAMPA-S-N</t>
  </si>
  <si>
    <t>CO030111</t>
  </si>
  <si>
    <t>I-E-56140-JILAYHUA</t>
  </si>
  <si>
    <t>SECTOR--JACHASURI</t>
  </si>
  <si>
    <t>CALLOQUISPE-HUILLCA--MARIO</t>
  </si>
  <si>
    <t>SEC-HACHASURI-COM--JILAYHUA</t>
  </si>
  <si>
    <t>CO030113</t>
  </si>
  <si>
    <t>SONCCO-HUANCA--PORFIRIO</t>
  </si>
  <si>
    <t>CCOLLIRE--YANAOCA</t>
  </si>
  <si>
    <t>CO030045</t>
  </si>
  <si>
    <t>USCAMAITA-GONZALES--DIOS-DADO</t>
  </si>
  <si>
    <t>ANEXO-CHALLAPAMPA--LT--05</t>
  </si>
  <si>
    <t>USCAMAITA-ACU-A--LILA</t>
  </si>
  <si>
    <t>ANEXO--CHALLAPAMPA---LT--04</t>
  </si>
  <si>
    <t>MAMANI-MACHI--FERMINA</t>
  </si>
  <si>
    <t>ANEXO--CHALLAPAMPA---LT--02</t>
  </si>
  <si>
    <t>CO030455</t>
  </si>
  <si>
    <t>SONCCO-CUITO--RAUL</t>
  </si>
  <si>
    <t>COM-CHUCHUCALLA-YANAOCA</t>
  </si>
  <si>
    <t>CO030454</t>
  </si>
  <si>
    <t>C-E-56110-CHUCCHUCALLA</t>
  </si>
  <si>
    <t>B-BAJO-CHUCCHUCALLA</t>
  </si>
  <si>
    <t>CO030462</t>
  </si>
  <si>
    <t>ASOC--DE-PRODUCTORES-AGROPECUA</t>
  </si>
  <si>
    <t>C-C--LLALLAPARA</t>
  </si>
  <si>
    <t>HUILLCA-DE-CHOQQUE--PETRONA</t>
  </si>
  <si>
    <t>ALTO-CURANI--LT--03</t>
  </si>
  <si>
    <t>CLEMENTE-GUZMAN--PIO</t>
  </si>
  <si>
    <t>SECTOR-ALTO-CURANI-LT--28</t>
  </si>
  <si>
    <t>CO030470</t>
  </si>
  <si>
    <t>C-E-56113-CCANCAYLLO</t>
  </si>
  <si>
    <t>ANEXO-CCANCAYLLO</t>
  </si>
  <si>
    <t>CO030472</t>
  </si>
  <si>
    <t>I-E-N--497---HANCCOYO</t>
  </si>
  <si>
    <t>COM--HANCCOYO-S-N</t>
  </si>
  <si>
    <t>CO030643</t>
  </si>
  <si>
    <t>PUMA-CACERES--FRANCISCO</t>
  </si>
  <si>
    <t>COM-CHOCCAYHUA</t>
  </si>
  <si>
    <t>C-E-56378-CHOCCAYHUA</t>
  </si>
  <si>
    <t>CO030474</t>
  </si>
  <si>
    <t>AYMA-MAMANI--VALERIO</t>
  </si>
  <si>
    <t>COM--MACHACCOY--A-S-N</t>
  </si>
  <si>
    <t>C-E-56124-MACHACCOYO-B-</t>
  </si>
  <si>
    <t>COM-MACHACCOYO-A-</t>
  </si>
  <si>
    <t>CO031356</t>
  </si>
  <si>
    <t>EDUCATIVO-PRIMARIA-NRO-56144--</t>
  </si>
  <si>
    <t>QUELLAHUANI</t>
  </si>
  <si>
    <t>CCOISO-CHOQQUE--SEFERINO</t>
  </si>
  <si>
    <t>LOCAL-COMUNAL-PRONOI-</t>
  </si>
  <si>
    <t>ANEXO-TOTORANI-LTE--16</t>
  </si>
  <si>
    <t>MAMANI-LEYVA--JOSE-LUIS</t>
  </si>
  <si>
    <t>PATA-RANCHO---HAMPATURA-LT--03</t>
  </si>
  <si>
    <t>MAMANI-QUISPE--CARMELIO</t>
  </si>
  <si>
    <t>CARAHUA-A---HAMPATURA--LT--15</t>
  </si>
  <si>
    <t>MAMANI-MAMANI--JOSE-DANIEL</t>
  </si>
  <si>
    <t>CARAHUA-A---HAMPATURA--LT--05</t>
  </si>
  <si>
    <t>QUISPE-LOPEZ--JUAN-FRANCISCO</t>
  </si>
  <si>
    <t>MARCAYRE---HAMPATURA--LT--23</t>
  </si>
  <si>
    <t>QUISPE-LOPEZ--ENGRACIA</t>
  </si>
  <si>
    <t>MARCAIRE---HAMPATURA--LT--25--</t>
  </si>
  <si>
    <t>RAMOS-QUISPE--CIPRIANA</t>
  </si>
  <si>
    <t>HAMPATURA--ANEXO-HUALAYCHO--LT</t>
  </si>
  <si>
    <t>PFU-O-MAMANI--LORENZA</t>
  </si>
  <si>
    <t>ANEXO-HUALAYCHO-II--LT--11</t>
  </si>
  <si>
    <t>CO040104</t>
  </si>
  <si>
    <t>CURSE-CHOQUE--JUVENAL</t>
  </si>
  <si>
    <t>CUSCO-S-N-PAMPAMARCA</t>
  </si>
  <si>
    <t>MONTALVO-HUAYHUA--ANDREA</t>
  </si>
  <si>
    <t>CUSCO-S-N</t>
  </si>
  <si>
    <t>PAULLO-POZO--NELLY-NATIVIDAD</t>
  </si>
  <si>
    <t>CALLE-TUPAC-AMARU---PAMPAMARCA</t>
  </si>
  <si>
    <t>C-E--M-BASTIDAS</t>
  </si>
  <si>
    <t>C-E--56118</t>
  </si>
  <si>
    <t>PANPAMARCA</t>
  </si>
  <si>
    <t>C-E-INICIAL---PAMPAMARCA</t>
  </si>
  <si>
    <t>MICAELA-BASTIDAS-S-N</t>
  </si>
  <si>
    <t>CASTRO-ELEUTERIO</t>
  </si>
  <si>
    <t>RODRIGO-VARGAS--JACINTA</t>
  </si>
  <si>
    <t>CALLE-LORETO-M-4</t>
  </si>
  <si>
    <t>TORRES--MIGUEL</t>
  </si>
  <si>
    <t>CALLE-SN-MARTIN-S-N</t>
  </si>
  <si>
    <t>CCAPATINTA-VICTOR</t>
  </si>
  <si>
    <t>HUARAYA-CURSE--BERNARDINA</t>
  </si>
  <si>
    <t>FALCON-TORRES--ROSAS-ALFREDO</t>
  </si>
  <si>
    <t>CALLE-GRAU-G1-11</t>
  </si>
  <si>
    <t>CASTRO-GARATE--RAUL</t>
  </si>
  <si>
    <t>VARGAS-CCAPATINTA--JUDIT</t>
  </si>
  <si>
    <t>HANCCO-QUISPE--JULIO</t>
  </si>
  <si>
    <t>UNION-S-N</t>
  </si>
  <si>
    <t>HUAYANA-ANTONIA</t>
  </si>
  <si>
    <t>UNION---S-N</t>
  </si>
  <si>
    <t>HUAYHUA-DAMASO</t>
  </si>
  <si>
    <t>CALLE-LORETO-S-N</t>
  </si>
  <si>
    <t>CO050032</t>
  </si>
  <si>
    <t>I-E-INICIAL-503-DE-CHOSECANI-I</t>
  </si>
  <si>
    <t>MICAELA-BASITADS-S-N</t>
  </si>
  <si>
    <t>INSTITUCION-EDUCATIVA-56120</t>
  </si>
  <si>
    <t>CENTRO-POBLADO-CHOSECANI--I-S-</t>
  </si>
  <si>
    <t>RAIMI-PAIVA--AURORA</t>
  </si>
  <si>
    <t>C-C--CHOSECANI-S-N</t>
  </si>
  <si>
    <t>CAPATINTA-C-FELIX</t>
  </si>
  <si>
    <t>CHOSECANI-I-</t>
  </si>
  <si>
    <t>CO050033</t>
  </si>
  <si>
    <t>I-EDUCATIVA-56150--PAMPARQUI</t>
  </si>
  <si>
    <t>PAMPARQUI-S-N</t>
  </si>
  <si>
    <t>CO030102</t>
  </si>
  <si>
    <t>HUANCA-C-ELEUTERIO</t>
  </si>
  <si>
    <t>CHACAMAYO---S-N</t>
  </si>
  <si>
    <t>RAMOS-CONDORI--LUCIA-ANGELICA</t>
  </si>
  <si>
    <t>ANEXO-CHACAMAYO</t>
  </si>
  <si>
    <t>CO042044</t>
  </si>
  <si>
    <t>C-E-PRIMARIO--56114</t>
  </si>
  <si>
    <t>DISTRITO-DE--TUNGASUCA</t>
  </si>
  <si>
    <t>CO040105</t>
  </si>
  <si>
    <t>NINA-CONDE-A--FLAVIO</t>
  </si>
  <si>
    <t>VARGAS-VILLAFUERTE--LAURO</t>
  </si>
  <si>
    <t>A-UGARTE-S-N-TUNGASUCA</t>
  </si>
  <si>
    <t>ZEVALLOS-AGUILAR--JOSE</t>
  </si>
  <si>
    <t>COM--SANTA-ROSA</t>
  </si>
  <si>
    <t>SAYCO--AGUSTIN</t>
  </si>
  <si>
    <t>AV--PIZARRO-S-N</t>
  </si>
  <si>
    <t>MAMANI-NINA--BRAULIO</t>
  </si>
  <si>
    <t>DESCANSO--S-N</t>
  </si>
  <si>
    <t>YANA-DOMINGO</t>
  </si>
  <si>
    <t>PIZARRO---S-N</t>
  </si>
  <si>
    <t>PERIDO-F--PAULINO</t>
  </si>
  <si>
    <t>TUNGASUCA</t>
  </si>
  <si>
    <t>CO040245</t>
  </si>
  <si>
    <t>MAMANI-C--MACARIA</t>
  </si>
  <si>
    <t>QQUEHUAR</t>
  </si>
  <si>
    <t>CONDORI-A--FORTUNATO</t>
  </si>
  <si>
    <t>CASA-SALON-COMUNAL</t>
  </si>
  <si>
    <t>QQUEHUAR-S-N</t>
  </si>
  <si>
    <t>CO040248</t>
  </si>
  <si>
    <t>MINISTERIO-DE-VIVIENDA-CONSTRU</t>
  </si>
  <si>
    <t>AV--SANTO-TOMAS-S-N-C-C--CCOTA</t>
  </si>
  <si>
    <t>AGUILAR-MAMANI--JOSE</t>
  </si>
  <si>
    <t>COM--CCOTA-A--AV--SANTO-TOMAS-</t>
  </si>
  <si>
    <t>CHOQUE-M-JUSTO</t>
  </si>
  <si>
    <t>STO-TOMAS--S-N</t>
  </si>
  <si>
    <t>CHOQUE-L-CLETO</t>
  </si>
  <si>
    <t>TROCHA-CARROZABLE--S-N</t>
  </si>
  <si>
    <t>I-E-INICIAL-507-DE-CCOTANA</t>
  </si>
  <si>
    <t>COM-CCOTANA</t>
  </si>
  <si>
    <t>MAMANI-Q--GUILLERMO</t>
  </si>
  <si>
    <t>PACHACUTEC--S-N</t>
  </si>
  <si>
    <t>CHOQUE-M-MATIAS</t>
  </si>
  <si>
    <t>TROCHA-CORROZABLE--S-N</t>
  </si>
  <si>
    <t>CO040473</t>
  </si>
  <si>
    <t>EDUCATIVO-NRO-56358-MACHACCOYO</t>
  </si>
  <si>
    <t>MACHACCOYO-B</t>
  </si>
  <si>
    <t>LLUSCA-CHOQUE--FORTUNATA</t>
  </si>
  <si>
    <t>COM-MACHACCOYO-B-</t>
  </si>
  <si>
    <t>MAMANI-CHOQUE--FIDEL</t>
  </si>
  <si>
    <t>ANEXO-MACHACCOYO---B-</t>
  </si>
  <si>
    <t>CO040249</t>
  </si>
  <si>
    <t>CHAMPI-CACERES-WILBER</t>
  </si>
  <si>
    <t>COM-PONGONA</t>
  </si>
  <si>
    <t>I-E-INICIAL-N--494-PONGO-A</t>
  </si>
  <si>
    <t>COM-PONGO-A-S-N</t>
  </si>
  <si>
    <t>HUANCA-CJUNO--CLIMACO</t>
  </si>
  <si>
    <t>BRR--CCORIMINA-S-N-C-P-M--PONG</t>
  </si>
  <si>
    <t>CHAMPI-CACERES--WILBER</t>
  </si>
  <si>
    <t>AV-LA-PAZA-S-N</t>
  </si>
  <si>
    <t>HUILLCA-DE-LLOCLLA--LIBERATA</t>
  </si>
  <si>
    <t>PONGO-A--YANAOCA</t>
  </si>
  <si>
    <t>PALOMINO-M-ESTEBAN</t>
  </si>
  <si>
    <t>QUISPE-QUISPE--TOMAS</t>
  </si>
  <si>
    <t>PONGO-A-S-N-YANAOCA</t>
  </si>
  <si>
    <t>SONCCO-MAMANI--SILVIA</t>
  </si>
  <si>
    <t>COM--PONGO-A</t>
  </si>
  <si>
    <t>AMARU-CHOQQUE--RONAL</t>
  </si>
  <si>
    <t>BARRIO-ROSSANI-S-N</t>
  </si>
  <si>
    <t>THUPA-PUMA-FERNANDO</t>
  </si>
  <si>
    <t>CACERES-P--ANTONIO</t>
  </si>
  <si>
    <t>LLOCLLA-PALOMINO--JUAN-CARLOS</t>
  </si>
  <si>
    <t>C-P-PONGONA-S-N</t>
  </si>
  <si>
    <t>COMBAPATA</t>
  </si>
  <si>
    <t>INST-EDUCATIVA-56137</t>
  </si>
  <si>
    <t>COM--KASKANI</t>
  </si>
  <si>
    <t>CO041359</t>
  </si>
  <si>
    <t>PALOMINO-PALOMINO--FRANCISCO</t>
  </si>
  <si>
    <t>CCOYANQUI-COM--K-ASCANI</t>
  </si>
  <si>
    <t>CO010060</t>
  </si>
  <si>
    <t>C-E--GERONIMO-ZAVALA</t>
  </si>
  <si>
    <t>CARRETERA--S-N</t>
  </si>
  <si>
    <t>VILLAVICENCIO-GONZALES--SIMEON</t>
  </si>
  <si>
    <t>CARRETERA-CUSCO-SICUANI-S-N</t>
  </si>
  <si>
    <t>CO010061</t>
  </si>
  <si>
    <t>FERNANDEZ-LUNA--MARGARITA</t>
  </si>
  <si>
    <t>CALLE-FRANCISCA-HERRERA-N--141</t>
  </si>
  <si>
    <t>C-E-56045</t>
  </si>
  <si>
    <t>FRANCISCO-HERRERA-S-N</t>
  </si>
  <si>
    <t>C-E--56044</t>
  </si>
  <si>
    <t>AYACUCHO--S-N</t>
  </si>
  <si>
    <t>TEMPLO-SAN-NICOLAS-DE-COMBAPAT</t>
  </si>
  <si>
    <t>AV--SE-OR-DE-HUANCA-S-N</t>
  </si>
  <si>
    <t>CABALLERO-CUBA--WILFREDO</t>
  </si>
  <si>
    <t>C--CANCHIS--ESQUINA-SUCRE-S-N</t>
  </si>
  <si>
    <t>PILARES-VILLASANTE--LUIS</t>
  </si>
  <si>
    <t>JR-2-DE-MAYO-S-N</t>
  </si>
  <si>
    <t>C-E--INICIAL-COMBAPA</t>
  </si>
  <si>
    <t>SANTUSA-VARGAS</t>
  </si>
  <si>
    <t>A-VELASCO---S-N</t>
  </si>
  <si>
    <t>C-E--COMPLEJO-EDUCACIONAL</t>
  </si>
  <si>
    <t>CO010064</t>
  </si>
  <si>
    <t>C-E--HUATOCCANI</t>
  </si>
  <si>
    <t>CC-HUATOCCANI-S-N-</t>
  </si>
  <si>
    <t>CO010622</t>
  </si>
  <si>
    <t>C-E-56451-JUCUIRE</t>
  </si>
  <si>
    <t>COM-JUCUIRE-S-N</t>
  </si>
  <si>
    <t>CO010518</t>
  </si>
  <si>
    <t>C-E--56093-OCUVIRI</t>
  </si>
  <si>
    <t>COM-OCUVIRI-S-N</t>
  </si>
  <si>
    <t>CO010062</t>
  </si>
  <si>
    <t>QUINONEZ-VDA-C-VICEN</t>
  </si>
  <si>
    <t>ACCOPAMPA---S-N</t>
  </si>
  <si>
    <t>CO010063</t>
  </si>
  <si>
    <t>C-E--5609</t>
  </si>
  <si>
    <t>SECTOR-CCALASAYA---S-N</t>
  </si>
  <si>
    <t>C-E-I--580--HUANTURA</t>
  </si>
  <si>
    <t>HUANTURA</t>
  </si>
  <si>
    <t>LAURA-CC-MELCHORA</t>
  </si>
  <si>
    <t>HUANTURA-S-N</t>
  </si>
  <si>
    <t>CO010068</t>
  </si>
  <si>
    <t>C-E--SALLOCCA</t>
  </si>
  <si>
    <t>C--SALLOCA-S-N-</t>
  </si>
  <si>
    <t>MUNICIPALIDAD-DISTRITAL--COMBA</t>
  </si>
  <si>
    <t>PLAZA-DE-ARMAS-COMBAPATA</t>
  </si>
  <si>
    <t>CO010069</t>
  </si>
  <si>
    <t>C-E--56091</t>
  </si>
  <si>
    <t>COMUNIDAD-JAYOBANBA</t>
  </si>
  <si>
    <t>CO010066</t>
  </si>
  <si>
    <t>CHOQUE-Q-EUSTAQUIO</t>
  </si>
  <si>
    <t>COM-CHARA</t>
  </si>
  <si>
    <t>I-E-INICIAL-DE-CHIARA-579</t>
  </si>
  <si>
    <t>COM--CHIARA-S-N</t>
  </si>
  <si>
    <t>I-E-S-MIGUEL-TORRES-VILLA-COM-</t>
  </si>
  <si>
    <t>COMUNIDAD-CHIARA</t>
  </si>
  <si>
    <t>CCOLLANA--JULIAN</t>
  </si>
  <si>
    <t>CHIARA---S-N</t>
  </si>
  <si>
    <t>C-E--CHIARA</t>
  </si>
  <si>
    <t>C-CHIARA-S-N-</t>
  </si>
  <si>
    <t>MEJIA-MAURO</t>
  </si>
  <si>
    <t>CHIARA-S-N-</t>
  </si>
  <si>
    <t>CO010065</t>
  </si>
  <si>
    <t>C-E--56089</t>
  </si>
  <si>
    <t>CCOLCATUNA</t>
  </si>
  <si>
    <t>AULAS-CEI-S-N-AMAYHUYLLA</t>
  </si>
  <si>
    <t>AMAYHUAYLLA-CCOLCATUMA</t>
  </si>
  <si>
    <t>CO010618</t>
  </si>
  <si>
    <t>MUNICIPALIDAD-DISTRITAL-DE-COM</t>
  </si>
  <si>
    <t>CO010070</t>
  </si>
  <si>
    <t>C-E--CULLCUIRE-560</t>
  </si>
  <si>
    <t>C-CULLCUIRE-S-N-</t>
  </si>
  <si>
    <t>CO020361</t>
  </si>
  <si>
    <t>MAMANI-A-SANTIAGO</t>
  </si>
  <si>
    <t>COMUNIDAD-TIQUINA</t>
  </si>
  <si>
    <t>SI031368</t>
  </si>
  <si>
    <t>CASA-COMUNAL--TUCSA</t>
  </si>
  <si>
    <t>C-C--TUCSA</t>
  </si>
  <si>
    <t>CHECACUPE</t>
  </si>
  <si>
    <t>CO020074</t>
  </si>
  <si>
    <t>C--E--INICIAL-VIRGRN-I-C-</t>
  </si>
  <si>
    <t>CHECCA-CHECCA--CHECACUPE</t>
  </si>
  <si>
    <t>FLORES-CHULLO--JUSTINA</t>
  </si>
  <si>
    <t>SANTIAGO-S-N</t>
  </si>
  <si>
    <t>HUAMAN-MALDONADO--ERNESTO</t>
  </si>
  <si>
    <t>CALLE-UNION--S-N</t>
  </si>
  <si>
    <t>SARABIA-VD-CRISTINA</t>
  </si>
  <si>
    <t>PUMACAHUA---S-N</t>
  </si>
  <si>
    <t>HUAMANI-BAEZ--SANTIAGO</t>
  </si>
  <si>
    <t>SAN-MARTIN-150-CHECCACUPE</t>
  </si>
  <si>
    <t>NINA-AQUINO-FELIX</t>
  </si>
  <si>
    <t>PUMACAHUA-S-N</t>
  </si>
  <si>
    <t>QUISPE-CHUQUICHAMPI--FRISCA</t>
  </si>
  <si>
    <t>SANTA-ANA--S-N</t>
  </si>
  <si>
    <t>ILLAPUMA-FRANCISCO</t>
  </si>
  <si>
    <t>LETICIA--S-N</t>
  </si>
  <si>
    <t>CO020073</t>
  </si>
  <si>
    <t>ZARATE-H-FERMIN-C-C</t>
  </si>
  <si>
    <t>CARRETERA-NUEVA--S-N</t>
  </si>
  <si>
    <t>I-E---ALMIRANTE--MIGUIEL-GRAU</t>
  </si>
  <si>
    <t>AV--CENTRAL-S-N-CHECACUPE</t>
  </si>
  <si>
    <t>CARAZAS-CONDO--HAYDEE</t>
  </si>
  <si>
    <t>CARRETERA-CUSCO--S-N</t>
  </si>
  <si>
    <t>PACHECO-H-FRANCISCO</t>
  </si>
  <si>
    <t>AV-PANAMERICANA--S-N</t>
  </si>
  <si>
    <t>CABRERA-CIRILO</t>
  </si>
  <si>
    <t>MOSOCLLACTA---S-N</t>
  </si>
  <si>
    <t>ZARATE-VICENTE</t>
  </si>
  <si>
    <t>PROL-TUPAC-AMARU---S-N</t>
  </si>
  <si>
    <t>GOMEZ-GRIMALDO</t>
  </si>
  <si>
    <t>PROGRESO---S-N</t>
  </si>
  <si>
    <t>HUAMAN-CANSAYA--LUIS</t>
  </si>
  <si>
    <t>AV--CENTRAL-CHECCACUPE</t>
  </si>
  <si>
    <t>ALARCON-CLEMENTE</t>
  </si>
  <si>
    <t>BUENA-VISTA---S-N</t>
  </si>
  <si>
    <t>CHURAPA-ZARATE--CACIANO</t>
  </si>
  <si>
    <t>LETICIA-S-N</t>
  </si>
  <si>
    <t>CO020075</t>
  </si>
  <si>
    <t>DUE-AS-DE-M--LOURDES</t>
  </si>
  <si>
    <t>MAYTA-CCAPAC---S-N</t>
  </si>
  <si>
    <t>HANCO-QUISPE--JUDITH-MADELEMNE</t>
  </si>
  <si>
    <t>COM--CANGALLI</t>
  </si>
  <si>
    <t>MONTALVO-B-NICASIO</t>
  </si>
  <si>
    <t>CCAPAC-YUPANQUI---S-N</t>
  </si>
  <si>
    <t>FERNANDEZ-M-EUSEBIO</t>
  </si>
  <si>
    <t>PJ-LLOQUE-YUPANQUI---S-N</t>
  </si>
  <si>
    <t>HANCCO-Q-FELICIANO</t>
  </si>
  <si>
    <t>PJ-YAHUAR-HUACAC---S-N</t>
  </si>
  <si>
    <t>QUISPE-L-FRANCISCO</t>
  </si>
  <si>
    <t>PJ-WIRACOCHA---S-N</t>
  </si>
  <si>
    <t>C-E--56049</t>
  </si>
  <si>
    <t>SICHI-ROCA---S-N</t>
  </si>
  <si>
    <t>COM-CANGALLI-S-N</t>
  </si>
  <si>
    <t>MAYTA-ARMINTA-SIMON</t>
  </si>
  <si>
    <t>CONSIBIDAYOC-S-N</t>
  </si>
  <si>
    <t>RIVERA-CCALA-SIMON</t>
  </si>
  <si>
    <t>CANGALLE-CHECCACUPE</t>
  </si>
  <si>
    <t>CO020305</t>
  </si>
  <si>
    <t>ALARCON-Q-SALOME</t>
  </si>
  <si>
    <t>CCAYOCCA</t>
  </si>
  <si>
    <t>CO021299</t>
  </si>
  <si>
    <t>CENTRO-EDUCATIVO--CCA-OCCOTA</t>
  </si>
  <si>
    <t>CA-OCOTA</t>
  </si>
  <si>
    <t>CO011394</t>
  </si>
  <si>
    <t>APAZA-CONDORI--JUSTINO</t>
  </si>
  <si>
    <t>PALCCOYO</t>
  </si>
  <si>
    <t>MAQUE-PALCOYO--C-E-</t>
  </si>
  <si>
    <t>CHURAPA-APAZA--SIMEON</t>
  </si>
  <si>
    <t>CO021301</t>
  </si>
  <si>
    <t>VISA-MACHACA--TEODOLFO</t>
  </si>
  <si>
    <t>MISKIUNUYOC</t>
  </si>
  <si>
    <t>ENRIQUEZ-JALANOCCA--SILVERIO</t>
  </si>
  <si>
    <t>CO021300</t>
  </si>
  <si>
    <t>C-E--NRO-56459--CA-OCOTA</t>
  </si>
  <si>
    <t>PAMPALAGUA</t>
  </si>
  <si>
    <t>CO020079</t>
  </si>
  <si>
    <t>LUQUE-Y-CIPRIAN</t>
  </si>
  <si>
    <t>JR-MERIS-II---S-N</t>
  </si>
  <si>
    <t>ZEVALLOS-H-GRACIANO</t>
  </si>
  <si>
    <t>MONTALVO-C-PABLO</t>
  </si>
  <si>
    <t>PALOMINO-BERRIOS--PAULINA</t>
  </si>
  <si>
    <t>COM--LLOCLLORA</t>
  </si>
  <si>
    <t>QUISPE-C-FRANCISCO</t>
  </si>
  <si>
    <t>GAYONA--CRUZ--FLOR-DE-MARIA-</t>
  </si>
  <si>
    <t>C-C--LLOCLLORA-S-N</t>
  </si>
  <si>
    <t>VIZA-C-ALEJO</t>
  </si>
  <si>
    <t>GAYONA-CRUZ--PERCY</t>
  </si>
  <si>
    <t>CCANCHI-C-ALEJA</t>
  </si>
  <si>
    <t>CRUZ-M--HONORATO</t>
  </si>
  <si>
    <t>LLOCLLORA-CHECACUPE</t>
  </si>
  <si>
    <t>C-E--PRIMARIA-56094</t>
  </si>
  <si>
    <t>LLOCLLORA-S-N-</t>
  </si>
  <si>
    <t>HUAMAN-M-EUGENIO</t>
  </si>
  <si>
    <t>LLOCLLORA</t>
  </si>
  <si>
    <t>CO020078</t>
  </si>
  <si>
    <t>C-E--56052-PRIMARIA</t>
  </si>
  <si>
    <t>JR-RICARDO-PALMA---105</t>
  </si>
  <si>
    <t>YUCRA-HUALLPA--RUTH</t>
  </si>
  <si>
    <t>AV--NICOLAS-DE-PIEROLA-S-N</t>
  </si>
  <si>
    <t>VIZA-TTICA--JOSE</t>
  </si>
  <si>
    <t>JR-NICOLAS-PIEROLA-S-N</t>
  </si>
  <si>
    <t>CCANA-CC-HONORIO</t>
  </si>
  <si>
    <t>CUSIMAYTA-MANUELA</t>
  </si>
  <si>
    <t>PUMACAHUA---108</t>
  </si>
  <si>
    <t>C-E-I--592</t>
  </si>
  <si>
    <t>CCANCHI-CUSIMAYTA--FRANCISCA</t>
  </si>
  <si>
    <t>AV--SAN-MARTIN</t>
  </si>
  <si>
    <t>CO020077</t>
  </si>
  <si>
    <t>QUISPE-USCAMAYTA--REVECA</t>
  </si>
  <si>
    <t>CCAPACCHAPI-S-N</t>
  </si>
  <si>
    <t>YANA-RUIZ--FLOR-ELIANA</t>
  </si>
  <si>
    <t>HIPOLITO-UNANUE-A-10</t>
  </si>
  <si>
    <t>HUANCACHOQUE-TEODOSI</t>
  </si>
  <si>
    <t>SIMON-BOLIVAR---S-N</t>
  </si>
  <si>
    <t>HUAMAN-CH--BRAULIO</t>
  </si>
  <si>
    <t>JR--MARISCAL-CASTILLA</t>
  </si>
  <si>
    <t>BELLO-CALDERON-JAVIER</t>
  </si>
  <si>
    <t>JR-GARCILASO-PITUMARCA</t>
  </si>
  <si>
    <t>QUISPE-MAMANI--MERCEDES</t>
  </si>
  <si>
    <t>JR--GARCILASO---235</t>
  </si>
  <si>
    <t>C-E--LIBERTADORES-AMERICA</t>
  </si>
  <si>
    <t>CO020076</t>
  </si>
  <si>
    <t>MAMANI-CONDORI--JUAN-BAUTISTA</t>
  </si>
  <si>
    <t>MIRAFLORES-N--204</t>
  </si>
  <si>
    <t>APAZA-CALDERON-JUAN</t>
  </si>
  <si>
    <t>URB-SANTIAGO-PAMPACHIRI</t>
  </si>
  <si>
    <t>MAMANI-H-FELIX</t>
  </si>
  <si>
    <t>ILBERTO-CHAVEZ--BENITO</t>
  </si>
  <si>
    <t>JR--LOS-ANGELES-124</t>
  </si>
  <si>
    <t>CCOLQUE-PAREDES--JORGE-LUIS</t>
  </si>
  <si>
    <t>AV--PROGRESO-N--513</t>
  </si>
  <si>
    <t>QUISPE-MAMANI--VICTORIANO</t>
  </si>
  <si>
    <t>JR-COLON-S-N</t>
  </si>
  <si>
    <t>MAMANI-HUAMAN--MARCELINO</t>
  </si>
  <si>
    <t>JR--COLON</t>
  </si>
  <si>
    <t>CASTELO-O-MARIANO</t>
  </si>
  <si>
    <t>JR-PUNO---101</t>
  </si>
  <si>
    <t>HUAMAN-H-NICANOR</t>
  </si>
  <si>
    <t>JR-PUNO---S-N</t>
  </si>
  <si>
    <t>HUAMAN-M-LUCIO</t>
  </si>
  <si>
    <t>PUNO-S-N</t>
  </si>
  <si>
    <t>GONZALO-LEON--ALIPIO</t>
  </si>
  <si>
    <t>JR--PUNO-N--723</t>
  </si>
  <si>
    <t>ANTENA-TV-PITUMARCA</t>
  </si>
  <si>
    <t>CO021470</t>
  </si>
  <si>
    <t>ARQQUE-YUCRA--MAXIMO</t>
  </si>
  <si>
    <t>ASOC--JUAN-VELASCO-ALVARADO</t>
  </si>
  <si>
    <t>CO020517</t>
  </si>
  <si>
    <t>C-E-56050-CHARI</t>
  </si>
  <si>
    <t>COM-CHARI</t>
  </si>
  <si>
    <t>CO020513</t>
  </si>
  <si>
    <t>HANCCO-BOLANOS--ANDRES</t>
  </si>
  <si>
    <t>CHACACHAPAMPA-S-N</t>
  </si>
  <si>
    <t>CO021295</t>
  </si>
  <si>
    <t>HUANCA-QUISPE--EUSEBIO</t>
  </si>
  <si>
    <t>UCHULLUCLLO</t>
  </si>
  <si>
    <t>HUAMAN-HUAMAN--SANTOS</t>
  </si>
  <si>
    <t>NOA-YUPANQUI--CLAUDIO</t>
  </si>
  <si>
    <t>QUISPE-HUARAYA--FRANCISCO</t>
  </si>
  <si>
    <t>HUAMAN-CHUQUICHAMPI--PETRONA</t>
  </si>
  <si>
    <t>CO021293</t>
  </si>
  <si>
    <t>INSTITUCION-EDUCATIVA--KARWI</t>
  </si>
  <si>
    <t>KARWI</t>
  </si>
  <si>
    <t>CJUNO-CHUQUICHAMPI--BERNARDINO</t>
  </si>
  <si>
    <t>MELO-CONDORI--DIEGO</t>
  </si>
  <si>
    <t>COCHAMA-MELO--GREGORIA</t>
  </si>
  <si>
    <t>CO021297</t>
  </si>
  <si>
    <t>QUISPE-CONDORI--RUBEN</t>
  </si>
  <si>
    <t>ACCOTOCCO----C-C--OSEFINA</t>
  </si>
  <si>
    <t>CO021291</t>
  </si>
  <si>
    <t>HUAHUACONDORI-ESPINOZA--JHONAT</t>
  </si>
  <si>
    <t>ANEXO-LLAULLIRI</t>
  </si>
  <si>
    <t>LEON-MAQQUE--BENIGNA</t>
  </si>
  <si>
    <t>LLAULLIRI</t>
  </si>
  <si>
    <t>CO021290</t>
  </si>
  <si>
    <t>CCANA-CCANA--HONORIO</t>
  </si>
  <si>
    <t>HUASAPAMPA</t>
  </si>
  <si>
    <t>CCANCCAPA-MELO--LUIS-TIMOTEO</t>
  </si>
  <si>
    <t>CO021390</t>
  </si>
  <si>
    <t>TICU-A-ARQQUE--LUCIA</t>
  </si>
  <si>
    <t>HUITO</t>
  </si>
  <si>
    <t>LAROTA-CONDORI--AGUSTIN</t>
  </si>
  <si>
    <t>CO021370</t>
  </si>
  <si>
    <t>C-E--NRO-56100--HUATABAMBA</t>
  </si>
  <si>
    <t>HUATABAMBA</t>
  </si>
  <si>
    <t>CO021296</t>
  </si>
  <si>
    <t>C-E--NRO--56417----PITUMARCA--</t>
  </si>
  <si>
    <t>OSEFINA</t>
  </si>
  <si>
    <t>SAN PABLO</t>
  </si>
  <si>
    <t>CO050170</t>
  </si>
  <si>
    <t>MUNICIPALIDAD-DISTRITAL-DE-SAN</t>
  </si>
  <si>
    <t>PLAZOLETA-BELEN-S-N</t>
  </si>
  <si>
    <t>TAPIA-BOLIVAR--MAGNA-VICTORIA</t>
  </si>
  <si>
    <t>PERU-S-N</t>
  </si>
  <si>
    <t>CETPRO---SAN-PABLO</t>
  </si>
  <si>
    <t>CO050169</t>
  </si>
  <si>
    <t>CASA-DEPORTISTA-MUNICIPALIDAD-</t>
  </si>
  <si>
    <t>CALLE-PELIGRO-S-N</t>
  </si>
  <si>
    <t>TUNQUE-ARAOS--LAZARDITO</t>
  </si>
  <si>
    <t>COM-CHARA-S-N</t>
  </si>
  <si>
    <t>CO050168</t>
  </si>
  <si>
    <t>QUISPE-QUISPE-SOFIA</t>
  </si>
  <si>
    <t>SAGRARIO-S-N-SAN-PABLO</t>
  </si>
  <si>
    <t>MAMANI-HIHUALLANCA--ANDRES-COR</t>
  </si>
  <si>
    <t>SAGRARIO-S-N</t>
  </si>
  <si>
    <t>RAMIRES-S--JESUS</t>
  </si>
  <si>
    <t>SAGRARIO-SANPABLO</t>
  </si>
  <si>
    <t>TTUPA-VDA-DE-PACCO--LORENZA</t>
  </si>
  <si>
    <t>SAGRARIO-S-N-SANPABLO</t>
  </si>
  <si>
    <t>C-E--56032-SONGONA</t>
  </si>
  <si>
    <t>SAGRARIO-S-N-</t>
  </si>
  <si>
    <t>QUISPE-CCAMA--GLADYS-ROXANA</t>
  </si>
  <si>
    <t>JUAN-VELASCO-ALVARADO-S-N</t>
  </si>
  <si>
    <t>QUISPE-MARROQUIN--RUTH-MERY</t>
  </si>
  <si>
    <t>CALLE-SANTA-CRUZ-S-N</t>
  </si>
  <si>
    <t>I-E-INICIAL-603-SONGO-A</t>
  </si>
  <si>
    <t>LEGUIA-S-N-SONGO-A</t>
  </si>
  <si>
    <t>I-E--N--56033</t>
  </si>
  <si>
    <t>CALLE-SAN-MARTIN-N--106</t>
  </si>
  <si>
    <t>AGUILAR-PUMA--YONY</t>
  </si>
  <si>
    <t>CALLE-BELEN-S-N</t>
  </si>
  <si>
    <t>QUISPE-MARROQUIN--RENE-FERNAND</t>
  </si>
  <si>
    <t>ALFONSO-UGARTE</t>
  </si>
  <si>
    <t>MAYHUA-SICOS--LUCIO</t>
  </si>
  <si>
    <t>CALLE-HUASCAR-N--109</t>
  </si>
  <si>
    <t>LLANOS-CHALLCO-GELY</t>
  </si>
  <si>
    <t>AV-LEGUIA-S-N</t>
  </si>
  <si>
    <t>TRANSPORTES-RMF-E-I-R-L-</t>
  </si>
  <si>
    <t>CARRETERA-PANAMERICANA-S-N--S-</t>
  </si>
  <si>
    <t>COPACONDORI-AUCCAHUAQUI--SABIN</t>
  </si>
  <si>
    <t>CHORRILLOS-S-N</t>
  </si>
  <si>
    <t>HILAQUITA-NICOMEDES</t>
  </si>
  <si>
    <t>LEGUIA</t>
  </si>
  <si>
    <t>MERMA-CCANIHUA-MATEO</t>
  </si>
  <si>
    <t>SANTIAGO-S-N-B-LOS-REYES</t>
  </si>
  <si>
    <t>CATUNTA-PARI--EUGENIO</t>
  </si>
  <si>
    <t>FERROCARRIL-163</t>
  </si>
  <si>
    <t>C-E--INICIAL</t>
  </si>
  <si>
    <t>JOSE-OLAYA-S-N-SAMPABLO</t>
  </si>
  <si>
    <t>CCACYA-QUISPE-MIGUEL-A-</t>
  </si>
  <si>
    <t>CO050655</t>
  </si>
  <si>
    <t>I-E-56077-DE-SURUHUAYLLA</t>
  </si>
  <si>
    <t>COM-SURUHUAYLLA-S-N</t>
  </si>
  <si>
    <t>CO050656</t>
  </si>
  <si>
    <t>IRUBAMBA</t>
  </si>
  <si>
    <t>CO050176</t>
  </si>
  <si>
    <t>I-E-N--56076---HUAROCCANI</t>
  </si>
  <si>
    <t>COM--HUAROCCANI-S-N</t>
  </si>
  <si>
    <t>MAMANI-S-FRANCISCO</t>
  </si>
  <si>
    <t>HUAROCCANI</t>
  </si>
  <si>
    <t>CO051512</t>
  </si>
  <si>
    <t>I-E--56079-HUAYLLANI-PACPACA</t>
  </si>
  <si>
    <t>SECTOR-HAUYLLANI-BAJA-S-N</t>
  </si>
  <si>
    <t>CO050175</t>
  </si>
  <si>
    <t>INICIAL-PRIMARIA-599--I--E-</t>
  </si>
  <si>
    <t>SECT--PUCACHUPA-COM-CHARA</t>
  </si>
  <si>
    <t>CO050173</t>
  </si>
  <si>
    <t>I-E-INCA-PACHACUTEQ-CHARA</t>
  </si>
  <si>
    <t>CHARA--CENTRAL--S-N</t>
  </si>
  <si>
    <t>FLORES-SUYO--JULIO-CESAR</t>
  </si>
  <si>
    <t>C-C--CHARA-CENTRAL-S-N</t>
  </si>
  <si>
    <t>CO050172</t>
  </si>
  <si>
    <t>SUYO-C-TEODORA</t>
  </si>
  <si>
    <t>CHARA-CCASAPAMPA---S-N</t>
  </si>
  <si>
    <t>SUYO-CHOQUE--MAURO</t>
  </si>
  <si>
    <t>COMCHARA-S-N</t>
  </si>
  <si>
    <t>CHOQUE-P-LAZARO</t>
  </si>
  <si>
    <t>QUENAYA-OLLACHICA--ROSAIRA</t>
  </si>
  <si>
    <t>SECTOR-CCASAPAMPA--CHARA</t>
  </si>
  <si>
    <t>CO050171</t>
  </si>
  <si>
    <t>MAMANI-H-JUSTINIANO</t>
  </si>
  <si>
    <t>MAYUPATA--S-N</t>
  </si>
  <si>
    <t>CO050371</t>
  </si>
  <si>
    <t>LIGUI-LIGUI-ELSA</t>
  </si>
  <si>
    <t>COM-JUNUCUCHO</t>
  </si>
  <si>
    <t>CUNO-CUMPA--JUSTINA</t>
  </si>
  <si>
    <t>SAN PEDRO</t>
  </si>
  <si>
    <t>CO050166</t>
  </si>
  <si>
    <t>RODRIGUEZ-AROSQUIPA--NILDA</t>
  </si>
  <si>
    <t>SANTA-ROSA--S-N</t>
  </si>
  <si>
    <t>C-E--56035</t>
  </si>
  <si>
    <t>GRAL-VARELA---109</t>
  </si>
  <si>
    <t>DURAND-TT-LUCIO</t>
  </si>
  <si>
    <t>C-ESTACION---S-N</t>
  </si>
  <si>
    <t>IDME-QUISPE--MIGUEL-ANGEL</t>
  </si>
  <si>
    <t>PISTA-PANAMERICANA-S-N</t>
  </si>
  <si>
    <t>CO050167</t>
  </si>
  <si>
    <t>QUISPE-I-FRANCISCO</t>
  </si>
  <si>
    <t>JR-LIBERTAD---S-N</t>
  </si>
  <si>
    <t>C-E-SAN-PEDRO</t>
  </si>
  <si>
    <t>LIBERTAD-S-N</t>
  </si>
  <si>
    <t>CO050509</t>
  </si>
  <si>
    <t>CUMPA-CUMPA--EUGENIA</t>
  </si>
  <si>
    <t>COM-CUCHUMA-S-N</t>
  </si>
  <si>
    <t>CO050508</t>
  </si>
  <si>
    <t>C-E-56038-CUCHUMA</t>
  </si>
  <si>
    <t>CO050158</t>
  </si>
  <si>
    <t>ARQQUE-R-ESTEBAN</t>
  </si>
  <si>
    <t>COMUNID-RAQCHI---S-N</t>
  </si>
  <si>
    <t>C-E--56081</t>
  </si>
  <si>
    <t>COMU-DE-RAQCHI---S-N</t>
  </si>
  <si>
    <t>CO050164</t>
  </si>
  <si>
    <t>C-E--56037</t>
  </si>
  <si>
    <t>CULTURA---S-N</t>
  </si>
  <si>
    <t>CO050163</t>
  </si>
  <si>
    <t>CAHUANA-QUISPE-ALBERTO</t>
  </si>
  <si>
    <t>COMUNIDAD-PICHURA</t>
  </si>
  <si>
    <t>C-E-56082-PICHURA</t>
  </si>
  <si>
    <t>PLAZA-DE-ARMAS-PICHURA</t>
  </si>
  <si>
    <t>TINTA</t>
  </si>
  <si>
    <t>CO050035</t>
  </si>
  <si>
    <t>CANDIA-DE-QUISPE--EULOGIA</t>
  </si>
  <si>
    <t>CALLE-HUAMACHUCO-S-N</t>
  </si>
  <si>
    <t>CO050375</t>
  </si>
  <si>
    <t>MAMANI-C--FRANCISCO</t>
  </si>
  <si>
    <t>CALLE-BOLOGNESI-N-145</t>
  </si>
  <si>
    <t>ASLLA-PERALTA--ANDRE</t>
  </si>
  <si>
    <t>MAMANI-MAMANI--HILAR</t>
  </si>
  <si>
    <t>HUANCACHOQUE-SANTIAG</t>
  </si>
  <si>
    <t>HUANCACHOQUE-Q-LEON</t>
  </si>
  <si>
    <t>BAUTISTA-TTITO--JUAN</t>
  </si>
  <si>
    <t>CONCHA-BARRIOS-DE-ROLDAN--ROSA</t>
  </si>
  <si>
    <t>CO050034</t>
  </si>
  <si>
    <t>BAUSTISTA-CONDORCAHUA--PRUDENC</t>
  </si>
  <si>
    <t>JOSE-TURNER---S-N</t>
  </si>
  <si>
    <t>BAUTISTA-CH-JUAN-DE</t>
  </si>
  <si>
    <t>HUANCACHOQUE-TICONA</t>
  </si>
  <si>
    <t>JOSE-TURNER-S-N</t>
  </si>
  <si>
    <t>ABARCA-HUAHUATICO--JUSTO-GERMA</t>
  </si>
  <si>
    <t>DOS-DE-MAYO--S-N</t>
  </si>
  <si>
    <t>MAMANI-TIMPO-GREGORI</t>
  </si>
  <si>
    <t>CALLE-DESAMPARADOS---S-N</t>
  </si>
  <si>
    <t>LLALLA-CACERES-PIO</t>
  </si>
  <si>
    <t>TUPAC-AMARU-S-N-</t>
  </si>
  <si>
    <t>SINTI-T-HERMOGENES</t>
  </si>
  <si>
    <t>MIGUEL-GRAU--S-N</t>
  </si>
  <si>
    <t>C-E--S-CHORRILLOS</t>
  </si>
  <si>
    <t>QUISPE-NAYHUA-SIMON-H</t>
  </si>
  <si>
    <t>AIMACHOQUE-MAMANI--GLADYS</t>
  </si>
  <si>
    <t>AV-AREQUIPA-S-N</t>
  </si>
  <si>
    <t>CANO-H-ALBERTO</t>
  </si>
  <si>
    <t>CACERES-TAYPE--ROXANA</t>
  </si>
  <si>
    <t>CALLE-AREQUIPA-S-N</t>
  </si>
  <si>
    <t>LOAYZA-Q--ALEJANDRINA</t>
  </si>
  <si>
    <t>ARICA-S-N</t>
  </si>
  <si>
    <t>HUANCACHOQUE-DE-TICONA--ASCENC</t>
  </si>
  <si>
    <t>LIMA-S-N</t>
  </si>
  <si>
    <t>CASA-COMUNIDAD-TINTA</t>
  </si>
  <si>
    <t>SAGRARIO--S-N</t>
  </si>
  <si>
    <t>TICONA-M-VALENTINA</t>
  </si>
  <si>
    <t>SAN-MARTIN-129</t>
  </si>
  <si>
    <t>C-E--ACUPACIONAL--TINTA</t>
  </si>
  <si>
    <t>C-E--56039</t>
  </si>
  <si>
    <t>SAN-MARTIN--S-N</t>
  </si>
  <si>
    <t>HUANCACHOQUE-MAMANI--ALEJANDRA</t>
  </si>
  <si>
    <t>C-SAN-MARTIN-S-N</t>
  </si>
  <si>
    <t>I-S-P-T-A--TINTA</t>
  </si>
  <si>
    <t>C-E--MICAELA-BAST</t>
  </si>
  <si>
    <t>PAZ-VILLARROEL-LUIS-A</t>
  </si>
  <si>
    <t>TUPAC-AMARU-203-TINTA</t>
  </si>
  <si>
    <t>C-E--INICIAL-TINTA</t>
  </si>
  <si>
    <t>MICAELA-BASTIDAS---S-N</t>
  </si>
  <si>
    <t>MAMANI-CACERES--LUISA</t>
  </si>
  <si>
    <t>MARIATEGUI--S-N</t>
  </si>
  <si>
    <t>CO050374</t>
  </si>
  <si>
    <t>I-E--EMANCIPACION--AMERICANA-T</t>
  </si>
  <si>
    <t>CHACACHIMPA-S-N--URB-J-EZQUERR</t>
  </si>
  <si>
    <t>DELGADO-LAURA-AURELIA</t>
  </si>
  <si>
    <t>ASC-SAN-ISIDRO-A-8</t>
  </si>
  <si>
    <t>CCARITAYNE-CHARCA-ELISA</t>
  </si>
  <si>
    <t>URB--J-ESQUERRA-TINTA</t>
  </si>
  <si>
    <t>RODRIGUEZ-DIAZ--CARMELA</t>
  </si>
  <si>
    <t>CHACA-CHIMPA-S-N</t>
  </si>
  <si>
    <t>CO050630</t>
  </si>
  <si>
    <t>MESA-TICONA--JUAN-CANCIO</t>
  </si>
  <si>
    <t>COM-UCHU-S-N</t>
  </si>
  <si>
    <t>QUISPE-CONDO-JUAN</t>
  </si>
  <si>
    <t>COM--UCHUPAMPA</t>
  </si>
  <si>
    <t>INSTI--EDUCATIVA-INICIAL-612-D</t>
  </si>
  <si>
    <t>COM-CAMPESINA-DE-UCHU-S-N</t>
  </si>
  <si>
    <t>CO050383</t>
  </si>
  <si>
    <t>CACERES-HUANCACHOQUE--FLORENCI</t>
  </si>
  <si>
    <t>ANEXO-KILLIHUARA-S-N</t>
  </si>
  <si>
    <t>I-E-56085-DE-QUILLIHUARA</t>
  </si>
  <si>
    <t>COM-QUILLIHUARA-S-N</t>
  </si>
  <si>
    <t>CO030635</t>
  </si>
  <si>
    <t>I--E--INICIAL-611-PICOTAYOC</t>
  </si>
  <si>
    <t>COM--PICOTAYOC</t>
  </si>
  <si>
    <t>I--E--56083-PICOTAYOC</t>
  </si>
  <si>
    <t>CO050641</t>
  </si>
  <si>
    <t>C-E-INICIAL-SULLIA</t>
  </si>
  <si>
    <t>SECTOR-SULLIA-S-N</t>
  </si>
  <si>
    <t>CO050156</t>
  </si>
  <si>
    <t>PUMACARI-M-VICTOR</t>
  </si>
  <si>
    <t>BOLOGNESI---S-N</t>
  </si>
  <si>
    <t>CENTRO-EDUCATIVO-56043</t>
  </si>
  <si>
    <t>COMUNIDAD-MACHACMARCA</t>
  </si>
  <si>
    <t>I-E-INICIAL--609---MACHACMARCA</t>
  </si>
  <si>
    <t>COM--MACHACMARCA</t>
  </si>
  <si>
    <t>MACHACA-RAMOS--DAVID</t>
  </si>
  <si>
    <t>C-C--MACHACMARCA-S-N</t>
  </si>
  <si>
    <t>MEZA-HUILLCA--ABRAHAM</t>
  </si>
  <si>
    <t>B--VILCANOTA-MACHACMARCA</t>
  </si>
  <si>
    <t>MAMANI-A-LUISA</t>
  </si>
  <si>
    <t>B-ROSASPATA-S-N</t>
  </si>
  <si>
    <t>CO050160</t>
  </si>
  <si>
    <t>ZAMATA-CCASA--SANTUSA</t>
  </si>
  <si>
    <t>BARRIO-URPAYA--S-N</t>
  </si>
  <si>
    <t>CO050161</t>
  </si>
  <si>
    <t>CCAHUANTICO-DE-HUALLPA--BERNAR</t>
  </si>
  <si>
    <t>B-URPAYA-S-N</t>
  </si>
  <si>
    <t>CCASA-COLQUE-RAUL</t>
  </si>
  <si>
    <t>BARRIO-URPAYA-S-N</t>
  </si>
  <si>
    <t>CO050159</t>
  </si>
  <si>
    <t>CAHUANTICO-L-JUSTINO</t>
  </si>
  <si>
    <t>B-ZAMATA-QUEROMARCA</t>
  </si>
  <si>
    <t>CO050162</t>
  </si>
  <si>
    <t>ESPINOZA-CC-BERNABE</t>
  </si>
  <si>
    <t>CCALASAYA---S-N</t>
  </si>
  <si>
    <t>HUAMAN-CCOLQUE-SANTOS</t>
  </si>
  <si>
    <t>CCALASAYA---QUEROMARCA</t>
  </si>
  <si>
    <t>C-E--56042-HURPAYA</t>
  </si>
  <si>
    <t>C--HURPAYA-S-N-</t>
  </si>
  <si>
    <t>I-E-INICIAL-610--DE-QUEROMARCA</t>
  </si>
  <si>
    <t>SECTOR-CENTRO-CCALASAYA-S-N</t>
  </si>
  <si>
    <t>CO050621</t>
  </si>
  <si>
    <t>QUISPE-QUISPE--BIVIANA</t>
  </si>
  <si>
    <t>UNION-STA-CRUZ-S-N-</t>
  </si>
  <si>
    <t>ESPIRILLA-HUANCACHOQUE--MARITZ</t>
  </si>
  <si>
    <t>CALAYASA-QUEROMARCA</t>
  </si>
  <si>
    <t>ACCHA</t>
  </si>
  <si>
    <t>CO030149</t>
  </si>
  <si>
    <t>ORURO-FRISANCHO--CLAUDIANA</t>
  </si>
  <si>
    <t>CALLE-HUYAINO-S-N</t>
  </si>
  <si>
    <t>CHACON-DE-LUNA--ANTONIA</t>
  </si>
  <si>
    <t>CALLE-CENIZA-S-N</t>
  </si>
  <si>
    <t>VARGAS-TORIBIO</t>
  </si>
  <si>
    <t>ABRACITOS---S-N</t>
  </si>
  <si>
    <t>GONZALES-QUISPE--JUAN</t>
  </si>
  <si>
    <t>CALLE-ULLPO--Z-10--BARRIO-ANAN</t>
  </si>
  <si>
    <t>ALCCA-LOAIZA--EDELMIRA</t>
  </si>
  <si>
    <t>BACA-SEVILLANOS--NATY</t>
  </si>
  <si>
    <t>CALLE-BELEN-K-4</t>
  </si>
  <si>
    <t>BERROCAL-V--BUENAVENTURA</t>
  </si>
  <si>
    <t>CO030150</t>
  </si>
  <si>
    <t>FERNANDEZ-BACA-DE-LA-CUBA--GUS</t>
  </si>
  <si>
    <t>CALLE-PACHAPUCYO-V-1</t>
  </si>
  <si>
    <t>MENDEZ-OVIEDO--DEMETRIO</t>
  </si>
  <si>
    <t>CALLE-ARREOLA-PATA-MZ--01-L8--</t>
  </si>
  <si>
    <t>SAVIO-GILARDI--VITTORIA</t>
  </si>
  <si>
    <t>TINTAYA-MAMANI--ORLANDO</t>
  </si>
  <si>
    <t>CALLE-SIMON-BOLIVAR</t>
  </si>
  <si>
    <t>PE-A-QUISPE--ANCELMO</t>
  </si>
  <si>
    <t>CALLE-ACCHA</t>
  </si>
  <si>
    <t>QUILLCA-D-MACARIO</t>
  </si>
  <si>
    <t>BOLIVAR-S-N</t>
  </si>
  <si>
    <t>SUAREZ-A-JULIAN</t>
  </si>
  <si>
    <t>BOLIVAR---S-N</t>
  </si>
  <si>
    <t>NUNEZ-ANGEL</t>
  </si>
  <si>
    <t>PLAZOLETA-BOLIVAR---S-N</t>
  </si>
  <si>
    <t>CO030148</t>
  </si>
  <si>
    <t>PUELLES-NAIHUA--FRANCISCO</t>
  </si>
  <si>
    <t>C-C--SIHUINA-ACCHA-SECTOR-CCAC</t>
  </si>
  <si>
    <t>LOAIZA-SENCIA--VALENTINA</t>
  </si>
  <si>
    <t>PROLG--CALLE-GARCILAZO</t>
  </si>
  <si>
    <t>INSTITUCION-EDUCATIVA-50360-AC</t>
  </si>
  <si>
    <t>BARRIO-LLOQUEYOC-S-N-ACCHA</t>
  </si>
  <si>
    <t>KANAHUIRE-MARCOS</t>
  </si>
  <si>
    <t>B-LLOQUEO-S-N-</t>
  </si>
  <si>
    <t>DELGADO-VDA-V-GUMERC</t>
  </si>
  <si>
    <t>CO030642</t>
  </si>
  <si>
    <t>QUISPE-OLIVERA--CELIA</t>
  </si>
  <si>
    <t>SECTOR-ACCHUPAMPA-S-N</t>
  </si>
  <si>
    <t>SALON-COMUNAL</t>
  </si>
  <si>
    <t>ACCHUPAMPA-I-2</t>
  </si>
  <si>
    <t>CO030152</t>
  </si>
  <si>
    <t>BAUTISTA-ROCCA--CRISOLOGO</t>
  </si>
  <si>
    <t>CORMA--ACOMAYO</t>
  </si>
  <si>
    <t>CO030714</t>
  </si>
  <si>
    <t>AVILES-CHIRA--SANTIAGO</t>
  </si>
  <si>
    <t>COM-AYA-S-N</t>
  </si>
  <si>
    <t>CO030716</t>
  </si>
  <si>
    <t>QUISPE-ENRIQUEZ--LUIS</t>
  </si>
  <si>
    <t>COM-PFOCCORHUAY-S-N</t>
  </si>
  <si>
    <t>CO031380</t>
  </si>
  <si>
    <t>SENCIA-ACHAHUI--JULIO</t>
  </si>
  <si>
    <t>AMANCAY-S-N</t>
  </si>
  <si>
    <t>FLORES-QUILLCA--HUGO</t>
  </si>
  <si>
    <t>AMANCAY---S-N</t>
  </si>
  <si>
    <t>CO031387</t>
  </si>
  <si>
    <t>HUILLCA-SALDIVAR--TIMOTEO</t>
  </si>
  <si>
    <t>CCOMARA</t>
  </si>
  <si>
    <t>CO031378</t>
  </si>
  <si>
    <t>TERAN-QUILLCA--JUAN</t>
  </si>
  <si>
    <t>PARCCO</t>
  </si>
  <si>
    <t>RONDOCAN</t>
  </si>
  <si>
    <t>CO030153</t>
  </si>
  <si>
    <t>CARDENAS-VARGAS--WILBERT</t>
  </si>
  <si>
    <t>CALLE-ROSAS-S-N</t>
  </si>
  <si>
    <t>PILLPINTO</t>
  </si>
  <si>
    <t>CO030147</t>
  </si>
  <si>
    <t>SANTA-C-ELGUERA-BENI</t>
  </si>
  <si>
    <t>AV-PERU---S-N</t>
  </si>
  <si>
    <t>MENDOZA-T-MICA</t>
  </si>
  <si>
    <t>DELGADO-DE-G-IRMA</t>
  </si>
  <si>
    <t>CO031997</t>
  </si>
  <si>
    <t>BELLOTA-VALER--DINA</t>
  </si>
  <si>
    <t>AV-PERU-S-N</t>
  </si>
  <si>
    <t>MIRAMENTE-O--VICTOR</t>
  </si>
  <si>
    <t>AV--PERU-S-N</t>
  </si>
  <si>
    <t>SEGURA-DELGADO--RINA</t>
  </si>
  <si>
    <t>PORTUGUEZ--E--17</t>
  </si>
  <si>
    <t>QUINONEZ-D-FIDELBERT</t>
  </si>
  <si>
    <t>PORTUGUEZ---S-N</t>
  </si>
  <si>
    <t>CO030151</t>
  </si>
  <si>
    <t>CARRASCO-CANDIA--NICOMEDES</t>
  </si>
  <si>
    <t>CALLE-TUPAC-AMARU-G-1</t>
  </si>
  <si>
    <t>ROSA-BERROCAL--PIO</t>
  </si>
  <si>
    <t>JR--CUSCO-J-5</t>
  </si>
  <si>
    <t>OVIEDO-PAZ-DE-PACHECO--VILMA</t>
  </si>
  <si>
    <t>AV--APURIMAC-S-N</t>
  </si>
  <si>
    <t>TORRES-VALER--NIEVES</t>
  </si>
  <si>
    <t>JR--ALFONSO-UGARTE-S-N</t>
  </si>
  <si>
    <t>TORRES-M-FAUSTO</t>
  </si>
  <si>
    <t>PACHACUTEC---S-N</t>
  </si>
  <si>
    <t>ENRIQUEZ-C-DOMINGO</t>
  </si>
  <si>
    <t>TORRES-OVIEDO--EMILIANO</t>
  </si>
  <si>
    <t>CALLE-JERUSALEN-1--17</t>
  </si>
  <si>
    <t>TORRES-F-DONATO</t>
  </si>
  <si>
    <t>CARRASCO-GUZMAN--ELIZABETH</t>
  </si>
  <si>
    <t>CARPIO-C-FRANCISCA</t>
  </si>
  <si>
    <t>JR-APURIMAC---S-N</t>
  </si>
  <si>
    <t>CO030663</t>
  </si>
  <si>
    <t>CENTENO-JARA--EDWIN</t>
  </si>
  <si>
    <t>CHUNCHULMAYO-S-N</t>
  </si>
  <si>
    <t>QUIQUIJANA</t>
  </si>
  <si>
    <t>CO020913</t>
  </si>
  <si>
    <t>YAPURA-HUISA--FRANCISCO</t>
  </si>
  <si>
    <t>SACHAC-ALTO</t>
  </si>
  <si>
    <t>QUISPE-CCANASI--ANASTACIO</t>
  </si>
  <si>
    <t>SECT--CCAUCHANI-C-C-PATA-SACHA</t>
  </si>
  <si>
    <t>HUISA-HUMPIRE--PASCUAL</t>
  </si>
  <si>
    <t>HUARSAYA-CCALLO--APOLINAR</t>
  </si>
  <si>
    <t>GUTIERRES-CA-ARI--NICOMEDES</t>
  </si>
  <si>
    <t>CA-ARI-TUPA--TOMAS</t>
  </si>
  <si>
    <t>VILLA-CCOA--PORFIRIO</t>
  </si>
  <si>
    <t>GUTIERREZ-QUISPE--MIGUEL</t>
  </si>
  <si>
    <t>THUPA-HUISA--ROMUALDO</t>
  </si>
  <si>
    <t>LOPE-HUARSAYA--EUGENIO</t>
  </si>
  <si>
    <t>CURASI-CUTI--FELICIANA</t>
  </si>
  <si>
    <t>CUSIPATA</t>
  </si>
  <si>
    <t>CO020082</t>
  </si>
  <si>
    <t>MONRROY-P-SILVERIO</t>
  </si>
  <si>
    <t>CALLE-AYACUCHO---S-N</t>
  </si>
  <si>
    <t>QUISPE-VARGAS--HERNANDO-EDGAR</t>
  </si>
  <si>
    <t>QUISPE-A-GUILLERMO</t>
  </si>
  <si>
    <t>CALLE-BOLIVAR</t>
  </si>
  <si>
    <t>HUAMAN--PASCUALA</t>
  </si>
  <si>
    <t>CALLE-NUEVA---S-N</t>
  </si>
  <si>
    <t>MIRANDA-BRAVO--ISRAEL-WILFREDO</t>
  </si>
  <si>
    <t>CALLE-ALIPIO-YABAR-S-N</t>
  </si>
  <si>
    <t>QUISPE-CC-CELSO</t>
  </si>
  <si>
    <t>CO020927</t>
  </si>
  <si>
    <t>VIETTEL--PERU--S-A-C--</t>
  </si>
  <si>
    <t>COM-C-PATACCOLCCA-S-N-CUSIPATA</t>
  </si>
  <si>
    <t>CO020084</t>
  </si>
  <si>
    <t>BARRANTES-MAMANI--FEDERICO</t>
  </si>
  <si>
    <t>C-C--PAUCARPATA-S-N</t>
  </si>
  <si>
    <t>CO020085</t>
  </si>
  <si>
    <t>CHURA-MAMANI--NICOMEDES</t>
  </si>
  <si>
    <t>COM-TINTINCO-S-N</t>
  </si>
  <si>
    <t>FERNANDEZ-ROMERO--SERGIO</t>
  </si>
  <si>
    <t>QUISPE-HUILLCA--RICARDO</t>
  </si>
  <si>
    <t>C-C--TINTINCO-S-N</t>
  </si>
  <si>
    <t>CO020087</t>
  </si>
  <si>
    <t>MUNIZ-GABRIEL</t>
  </si>
  <si>
    <t>MOCORASI---S-N</t>
  </si>
  <si>
    <t>ARMUTO-GUERRA-EDUVIGES</t>
  </si>
  <si>
    <t>COM-MOCCORAISE-S-N</t>
  </si>
  <si>
    <t>CO020320</t>
  </si>
  <si>
    <t>QUISPE-MONTIEL-EDGAR</t>
  </si>
  <si>
    <t>COM--CHUQUICAHUANA</t>
  </si>
  <si>
    <t>CO020080</t>
  </si>
  <si>
    <t>PAREJA-MELO--JUSTINA</t>
  </si>
  <si>
    <t>COM--OCCOBAMBA-SUR</t>
  </si>
  <si>
    <t>DE-LA-CRUZ-M-LUCIO</t>
  </si>
  <si>
    <t>OCCOBAMBA---S-N</t>
  </si>
  <si>
    <t>GUTIERREZ-QUISPE--DANIEL</t>
  </si>
  <si>
    <t>SAN-ISIDRO-OCCOBAMBA-SUR</t>
  </si>
  <si>
    <t>ANTENA-PARABOLICA-O-</t>
  </si>
  <si>
    <t>OCCOBAMBA-NORTE</t>
  </si>
  <si>
    <t>CO020915</t>
  </si>
  <si>
    <t>CHOQQUEHUANCA-HUITTOCCOLLO--EL</t>
  </si>
  <si>
    <t>COM--HUAYLLA-HUAYLLA</t>
  </si>
  <si>
    <t>HUAYLLA-HUAYLLA</t>
  </si>
  <si>
    <t>QUISPE-CHOQUEHUANCA--BASILIO</t>
  </si>
  <si>
    <t>CO021326</t>
  </si>
  <si>
    <t>QUISPE-CHUNCA--AEXALTACION</t>
  </si>
  <si>
    <t>MANCURAN</t>
  </si>
  <si>
    <t>CO021319</t>
  </si>
  <si>
    <t>CHECCA-CHUNCA--WILFREDO</t>
  </si>
  <si>
    <t>COM--PATAQUEHUAR</t>
  </si>
  <si>
    <t>APAZA-DURAN--MANUELA</t>
  </si>
  <si>
    <t>CANCHA-CANCHA-CENTRAL</t>
  </si>
  <si>
    <t>MAMANI-CURI--PEDRO</t>
  </si>
  <si>
    <t>SECTOR-CENTRAL---PATA-QUEHUAR</t>
  </si>
  <si>
    <t>QUISPE-HOLGADO--CECILIO</t>
  </si>
  <si>
    <t>B-CENTRAL-COM-PATAQQUEHUAR</t>
  </si>
  <si>
    <t>CHALLCO-QUISPE--JOSEFA</t>
  </si>
  <si>
    <t>PUMA-CHALLCCO--LUCIO-ALBERTO</t>
  </si>
  <si>
    <t>SECT-ANTALLACTA---PATA-QUEHUAR</t>
  </si>
  <si>
    <t>CO021323</t>
  </si>
  <si>
    <t>ATACO-SONCCO--EBARISTA</t>
  </si>
  <si>
    <t>TINCO-LLACTA</t>
  </si>
  <si>
    <t>CO021325</t>
  </si>
  <si>
    <t>CCCORAHUA-CHALLCO--RUBEN</t>
  </si>
  <si>
    <t>UNION</t>
  </si>
  <si>
    <t>CCORAHUA-CHALLCO--WILBER</t>
  </si>
  <si>
    <t>CO021324</t>
  </si>
  <si>
    <t>CHUNCA-SAIRE--DAMIAN</t>
  </si>
  <si>
    <t>SECTOR-PATA-QUEGUAR</t>
  </si>
  <si>
    <t>MAMANI-CHUNCA--JUAN</t>
  </si>
  <si>
    <t>CCOA-TTITO--CLAUDIO</t>
  </si>
  <si>
    <t>CHALLCO-IMA--HONORATA</t>
  </si>
  <si>
    <t>CHALLCO-HOLGADO--CRISPIN</t>
  </si>
  <si>
    <t>HUARCA-QUISPE--ALEJANDRO</t>
  </si>
  <si>
    <t>CCANIHUA-BAEZ--FACUNDA</t>
  </si>
  <si>
    <t>MAMANI-CURI--BONIFACIA</t>
  </si>
  <si>
    <t>VASQUEZ-CCOA--LUISA</t>
  </si>
  <si>
    <t>MAMANI-CHALLCO--SALVADOR</t>
  </si>
  <si>
    <t>TARACAYA-CHUNCA--DOMINGO</t>
  </si>
  <si>
    <t>HUARCA-MAMANI--JULIAN</t>
  </si>
  <si>
    <t>SECTOR-PATA-QUEGUAR-TINCO</t>
  </si>
  <si>
    <t>CO021320</t>
  </si>
  <si>
    <t>ALANOCCA-HUAMAN--MARIO</t>
  </si>
  <si>
    <t>PUMAHUASI</t>
  </si>
  <si>
    <t>LAURA-SONCCO--PASCUALA</t>
  </si>
  <si>
    <t>ANEXO-HUADHUA--PATAQUEHUAR</t>
  </si>
  <si>
    <t>CO021322</t>
  </si>
  <si>
    <t>SONCCO-CA-A--VALENTIN</t>
  </si>
  <si>
    <t>LAGUNA-ALTA</t>
  </si>
  <si>
    <t>CO021017</t>
  </si>
  <si>
    <t>MAMANI-CONDORI--JOSE</t>
  </si>
  <si>
    <t>CCASAPAMPA</t>
  </si>
  <si>
    <t>QUISPE-CHILLIHUANI--VICTOR</t>
  </si>
  <si>
    <t>CO020911</t>
  </si>
  <si>
    <t>CONDORI-QUISPE--FRANCISCO</t>
  </si>
  <si>
    <t>LLAMPA</t>
  </si>
  <si>
    <t>SALON-COMUNAL-LLAMPA---QUIQUIJ</t>
  </si>
  <si>
    <t>COM--LLAMPA</t>
  </si>
  <si>
    <t>CCOA-CONDORI--IGNACIO</t>
  </si>
  <si>
    <t>C-C-LLAMPA-SECTOR-CALLQUI</t>
  </si>
  <si>
    <t>BAUTISTA-CCOA--FELIX</t>
  </si>
  <si>
    <t>SECT--CCALLQUI--C-C-LLAMPA</t>
  </si>
  <si>
    <t>LUYCHO-LAURA--JOSE-TOMAS</t>
  </si>
  <si>
    <t>SECT--CCOLLPACCUHO--C-C-LLAMPA</t>
  </si>
  <si>
    <t>CONDORI-LUYCHO--DEMETRIO</t>
  </si>
  <si>
    <t>CONDORI-CCOYCCOSI--MAMERTO</t>
  </si>
  <si>
    <t>CO020094</t>
  </si>
  <si>
    <t>CASA-VDA-DE-CRUZ--VICENTA</t>
  </si>
  <si>
    <t>CALLE-FRANCISCO-BOLOGNESI--N--</t>
  </si>
  <si>
    <t>SALINAS-P--SERAPIO</t>
  </si>
  <si>
    <t>HUARCONE-CCOA--BENECIA</t>
  </si>
  <si>
    <t>JR--SAN-MARTIN---QUIQUIJANA</t>
  </si>
  <si>
    <t>ARMOTO-VITORINO--JAVIER-FRANCI</t>
  </si>
  <si>
    <t>SONCCO-QUISPE--LIBORIO</t>
  </si>
  <si>
    <t>SAN-MARTIN---F--11</t>
  </si>
  <si>
    <t>FUENTES-TT-GERARDO</t>
  </si>
  <si>
    <t>DIAZ-MENDOZA--BALTAZAR</t>
  </si>
  <si>
    <t>FRANCISCO-BOLOGNESI--S-N</t>
  </si>
  <si>
    <t>CASA-PFOCCO--APOLONIA</t>
  </si>
  <si>
    <t>CO020093</t>
  </si>
  <si>
    <t>VITORINO-M--JUANA</t>
  </si>
  <si>
    <t>QUISPE-CCOA--JUAN</t>
  </si>
  <si>
    <t>CALLE-SAN-MARTIN---QUIQUIJANA</t>
  </si>
  <si>
    <t>MELO-B--MARIO</t>
  </si>
  <si>
    <t>PIZARRO-S-N</t>
  </si>
  <si>
    <t>GUZMAN-PACCO--EGIDIA</t>
  </si>
  <si>
    <t>CALLE-FRANCISCO-PIZARRO-S-N</t>
  </si>
  <si>
    <t>TRUJILLO-M-CARLOS-VI</t>
  </si>
  <si>
    <t>ESPINAR-425</t>
  </si>
  <si>
    <t>BEJAR-D--BRAULIO</t>
  </si>
  <si>
    <t>ESPINAR-S-N</t>
  </si>
  <si>
    <t>PFOCCO-SERRANO--POLICARPO</t>
  </si>
  <si>
    <t>CALLE-ESPINAR</t>
  </si>
  <si>
    <t>OLIVERA-MAMANI--EDGARD-F-</t>
  </si>
  <si>
    <t>MAMANI-MELO--MELITON</t>
  </si>
  <si>
    <t>AV--SAN-MARTIN-S1---3</t>
  </si>
  <si>
    <t>CUBA-RODRIGUEZ-DE-SEQUEIROS--M</t>
  </si>
  <si>
    <t>COLON-F1-9</t>
  </si>
  <si>
    <t>MELO-A--VICENTE</t>
  </si>
  <si>
    <t>CUBA--OLINDA</t>
  </si>
  <si>
    <t>PACCO-A--CALIXTO</t>
  </si>
  <si>
    <t>QUISPE-QUISPE--BENITO</t>
  </si>
  <si>
    <t>CALLE-COLON---T9</t>
  </si>
  <si>
    <t>PUMA--SIMONA</t>
  </si>
  <si>
    <t>MENDOZA-S-N</t>
  </si>
  <si>
    <t>CASTELLANOS-PORFIRIO</t>
  </si>
  <si>
    <t>JESUS-414</t>
  </si>
  <si>
    <t>PALOMINO-S--FROILAN</t>
  </si>
  <si>
    <t>JESUS-S-N</t>
  </si>
  <si>
    <t>UGARTE-QUISPE--PEDRO</t>
  </si>
  <si>
    <t>PASION-E-2</t>
  </si>
  <si>
    <t>DELGADO-QUISPE-MARCO</t>
  </si>
  <si>
    <t>COLON-S-N-</t>
  </si>
  <si>
    <t>CHAMBI-ARAPA--ANTONIO</t>
  </si>
  <si>
    <t>CALLE-BOLIVAR-N--104</t>
  </si>
  <si>
    <t>CONCHA-QUISPE--JULIO</t>
  </si>
  <si>
    <t>MELGAR-QUIQUIJANA</t>
  </si>
  <si>
    <t>SERRANO-PIZARRO-TERE</t>
  </si>
  <si>
    <t>JORGE-CHAVEZ-S-N</t>
  </si>
  <si>
    <t>OQUENDO-PALOMINO--HERNAN</t>
  </si>
  <si>
    <t>CALLE-PASION</t>
  </si>
  <si>
    <t>ZUNIGA-L--MAXIMO</t>
  </si>
  <si>
    <t>CHAVEZ-BAEZ--JULIO</t>
  </si>
  <si>
    <t>CALLE-ESTACION-S-N</t>
  </si>
  <si>
    <t>CO020095</t>
  </si>
  <si>
    <t>MAMANI-CH--ENRIQUE</t>
  </si>
  <si>
    <t>GARCILASO-S-N</t>
  </si>
  <si>
    <t>CALLE-GARCILAZO-S-N-</t>
  </si>
  <si>
    <t>HUILLCA-QUISPE--TOMAS</t>
  </si>
  <si>
    <t>CALLE-CCUY---CALLE-QUIQUIJANA</t>
  </si>
  <si>
    <t>LIZARRAGA-CHILO--MONICA</t>
  </si>
  <si>
    <t>COM--QUIQUIJANA</t>
  </si>
  <si>
    <t>TTITO-MAMANI--RAMIRO</t>
  </si>
  <si>
    <t>CALLE-QUIQUIJANA--ESQ--MANCO-C</t>
  </si>
  <si>
    <t>AQUINO-M--FCO-</t>
  </si>
  <si>
    <t>MANCO-CCAPAC-S-N</t>
  </si>
  <si>
    <t>AQUINO-CHALCO-JULIA</t>
  </si>
  <si>
    <t>OCCIDENTAL-QUIQUIJANA</t>
  </si>
  <si>
    <t>VILLAVICENCIO-LEANDR</t>
  </si>
  <si>
    <t>VITORINO--ASCENCIO</t>
  </si>
  <si>
    <t>HUASCAR-S-N</t>
  </si>
  <si>
    <t>CCONCHOY--ELEUTERIO</t>
  </si>
  <si>
    <t>CAHUIDE-S-N</t>
  </si>
  <si>
    <t>MONTA-EZ-TTITO--JUAN</t>
  </si>
  <si>
    <t>FERROCARRIL-S-N-QUIQUIJAN</t>
  </si>
  <si>
    <t>CCAHUANA-TTITO--ELISABETH</t>
  </si>
  <si>
    <t>CALLE-FERROCARIL-COM--QUIQUIJA</t>
  </si>
  <si>
    <t>I-S-P--H-ZEVALLOS-G-</t>
  </si>
  <si>
    <t>AQUINO-S-ALEJANDRO</t>
  </si>
  <si>
    <t>CONZA-DE-CHALLCO--TEOFILA</t>
  </si>
  <si>
    <t>FLORES-MU-IZ--ANGEL-GUSTAVO</t>
  </si>
  <si>
    <t>PATAHUASI-B-OCCIDENTAL</t>
  </si>
  <si>
    <t>QUISPE-DURAN-FERNANDO</t>
  </si>
  <si>
    <t>GRAU-S-N</t>
  </si>
  <si>
    <t>HUISA-JANCCO--RAFAEL-FORTUNATO</t>
  </si>
  <si>
    <t>CCAMA-QUISPE-PASCUAL</t>
  </si>
  <si>
    <t>FRANCISCO-BOLOGNESI-A-2</t>
  </si>
  <si>
    <t>ALCA-TTITO--ROSARIO</t>
  </si>
  <si>
    <t>ASOC--TUPAC-AMARU-CALLE-ESPINA</t>
  </si>
  <si>
    <t>HUAMAN-CCOYORI--LUIS</t>
  </si>
  <si>
    <t>A-P-V--TUPAC-AMARU-</t>
  </si>
  <si>
    <t>SONCCO-ATACO-DE-CHUNCA--JUANA</t>
  </si>
  <si>
    <t>ASOC--NUEVA-ZELANDA</t>
  </si>
  <si>
    <t>CCOLQUE-QUISPE--CELSO</t>
  </si>
  <si>
    <t>C-C--CERA-CERA-SECTOR-YAWAR-HU</t>
  </si>
  <si>
    <t>TAPIA--CONDORI--DARWIN</t>
  </si>
  <si>
    <t>C-C--ALTO-CONCEPCION-LT-17</t>
  </si>
  <si>
    <t>QUISPE-CCOA--MARGARITA</t>
  </si>
  <si>
    <t>C-C--ALTO-CONCEPCION--LT-8</t>
  </si>
  <si>
    <t>CCALASANI-QUISPE--PASCUAL</t>
  </si>
  <si>
    <t>C-C--ALTO-CONCEPCION-LT-4</t>
  </si>
  <si>
    <t>CCOA-CCOYCCOSI--VALENTINA</t>
  </si>
  <si>
    <t>C-C--CERA-CERA--SECTOR-CONCHUP</t>
  </si>
  <si>
    <t>MELO-FLORES--ANDRES</t>
  </si>
  <si>
    <t>C-C--CERA-CERA-</t>
  </si>
  <si>
    <t>CCOLQQUE-CCALASANI--ALEJANDRO</t>
  </si>
  <si>
    <t>CURASI-YUPANQUI--TIBURCIO</t>
  </si>
  <si>
    <t>SECTOR-NINABAMBA--COM---DE-HAY</t>
  </si>
  <si>
    <t>CURASI-MAMANI--CIRILO</t>
  </si>
  <si>
    <t>SECTOR-NINABAMBA----COM--DE-HA</t>
  </si>
  <si>
    <t>CURASI-YUPANQUI--MATIASA</t>
  </si>
  <si>
    <t>SONCCO-YAPURA--REMIGIO</t>
  </si>
  <si>
    <t>CCOLQQUE-YUPANQUI--HIPOLITA</t>
  </si>
  <si>
    <t>YUPANQUI-CCANASI--JULIAN</t>
  </si>
  <si>
    <t>C-C--HAYUNI</t>
  </si>
  <si>
    <t>GUTIERREZ-YAPURA--FLORENCIO</t>
  </si>
  <si>
    <t>QUISPE-CCANASE--MATEO</t>
  </si>
  <si>
    <t>YUPANQUI-QUISPE--ASCENCIA</t>
  </si>
  <si>
    <t>C-C-HAYUNI</t>
  </si>
  <si>
    <t>LUNA-YUPANQUI--EMILIANO</t>
  </si>
  <si>
    <t>CCANASI-HUISA--NICOLASA</t>
  </si>
  <si>
    <t>YUPANQUI-MAYO--FLORENTINA</t>
  </si>
  <si>
    <t>YUPANQUI-QUISPE--HILARIO</t>
  </si>
  <si>
    <t>QUISPE-HUMPIRE--JOSE</t>
  </si>
  <si>
    <t>YUPANQUI-GUTIERREZ--CECILIA</t>
  </si>
  <si>
    <t>MAMANI-CHAMPI--SANTOS-ROMUALDO</t>
  </si>
  <si>
    <t>C-C--LLAMPA-SECTOR-QUERAWA</t>
  </si>
  <si>
    <t>MAMANI-CCOA--MARCOS</t>
  </si>
  <si>
    <t>CCOLQUE-YUPANQUI--PAULA</t>
  </si>
  <si>
    <t>C-C-HAYUNI-SECT--QUELLO-CCOCHA</t>
  </si>
  <si>
    <t>MELO-MAMANI--VICTOR</t>
  </si>
  <si>
    <t>MAMANI-YUPANQUI--HONORATO</t>
  </si>
  <si>
    <t>GUTIERREZ-YUCRA--PEDRO</t>
  </si>
  <si>
    <t>LUNA-YUPANQUI--CIPRIANO</t>
  </si>
  <si>
    <t>HUITTOCCOLLO-ROJO--MELQUIADES</t>
  </si>
  <si>
    <t>YUPANQUI-YUCRA--JUSTO</t>
  </si>
  <si>
    <t>CO021317</t>
  </si>
  <si>
    <t>MEJIA-CHUNCA--SEGUNDINA</t>
  </si>
  <si>
    <t>SECTOR--A-URAN-PAMPA</t>
  </si>
  <si>
    <t>HUARCA-QUISPE--SABINO</t>
  </si>
  <si>
    <t>ANEXO--A-URAN</t>
  </si>
  <si>
    <t>MAYHUIRE-CHALLCO--LUCIO</t>
  </si>
  <si>
    <t>HALANOCCA-MELO--GERARDO</t>
  </si>
  <si>
    <t>CO020096</t>
  </si>
  <si>
    <t>PAUCAR-FERNANDEZ--PASCUALA</t>
  </si>
  <si>
    <t>COM-ACCOPATA</t>
  </si>
  <si>
    <t>QUISPE-A-MELCHOR</t>
  </si>
  <si>
    <t>ACCOPATA---S-N</t>
  </si>
  <si>
    <t>QUISPE-L-DOMINGO</t>
  </si>
  <si>
    <t>VITORINO-Q-VICTOR</t>
  </si>
  <si>
    <t>MAMANI-P-PRIMITIVA</t>
  </si>
  <si>
    <t>CO021303</t>
  </si>
  <si>
    <t>QUISPE-J-GERARDO</t>
  </si>
  <si>
    <t>CO020089</t>
  </si>
  <si>
    <t>QUISPE-R-BRUNO</t>
  </si>
  <si>
    <t>CARRETERA---S-N</t>
  </si>
  <si>
    <t>CHOQUEMAQUI-S-GERMAN-S-</t>
  </si>
  <si>
    <t>CARRETERA-COLCA-BAJO</t>
  </si>
  <si>
    <t>PUMA--DE-DUE-AS--GUILLERMINA</t>
  </si>
  <si>
    <t>PISTA-PANAMERICANA-S-N-COLCA</t>
  </si>
  <si>
    <t>QUISPE-Y-JORGE</t>
  </si>
  <si>
    <t>PUMA-LEON--IRMA</t>
  </si>
  <si>
    <t>PAMPA-CCOLCCA-S-N</t>
  </si>
  <si>
    <t>SAYRE-CARLOS</t>
  </si>
  <si>
    <t>CALLEJON---S-N</t>
  </si>
  <si>
    <t>PUMA-MARIO</t>
  </si>
  <si>
    <t>MOSO-CERAPIO</t>
  </si>
  <si>
    <t>SAIRE-S-GREGORIO</t>
  </si>
  <si>
    <t>URAN-CALLE-S-N</t>
  </si>
  <si>
    <t>MOSO-LUCAS</t>
  </si>
  <si>
    <t>COLCA---S-N</t>
  </si>
  <si>
    <t>SAYRE-MANUEL</t>
  </si>
  <si>
    <t>PANTIA-SAIRE--WILFREDO</t>
  </si>
  <si>
    <t>C-C-CCOLCA</t>
  </si>
  <si>
    <t>PUMA-Q-RUDECINDO</t>
  </si>
  <si>
    <t>COLCA-BAJO-S-N-</t>
  </si>
  <si>
    <t>PUMA-SAIRE-LUIS</t>
  </si>
  <si>
    <t>COLCA-BAJO-S-N</t>
  </si>
  <si>
    <t>CUTI-QUISPE--JULIAN</t>
  </si>
  <si>
    <t>COM--CALLACUNCA-S-N-QUQUIJANA</t>
  </si>
  <si>
    <t>VERA-CONDORI--MARUJA</t>
  </si>
  <si>
    <t>C-C-CALLACUNCA</t>
  </si>
  <si>
    <t>CO020091</t>
  </si>
  <si>
    <t>HUANCA-C--MODESTO</t>
  </si>
  <si>
    <t>SAN-ISIDRO-S-N-</t>
  </si>
  <si>
    <t>VITORINO-MAMANI--MAXIMO</t>
  </si>
  <si>
    <t>SAN-ISIDRO-S-N</t>
  </si>
  <si>
    <t>SALON--COMUNAL--C-C--ANTISUYO</t>
  </si>
  <si>
    <t>COM--ANTISUYO</t>
  </si>
  <si>
    <t>CO020092</t>
  </si>
  <si>
    <t>PACCO-MONTES--ELOY</t>
  </si>
  <si>
    <t>COM--HUACCAYTAQUI</t>
  </si>
  <si>
    <t>KJUNO-DE-P-GERARDA</t>
  </si>
  <si>
    <t>HUACCAYTAQUI---S-N</t>
  </si>
  <si>
    <t>C-C--HUACCAYTAQUI-S-N</t>
  </si>
  <si>
    <t>DURAN-VDA-P-PAULA</t>
  </si>
  <si>
    <t>CO020097</t>
  </si>
  <si>
    <t>CCALA-CHILO-HERMOGENES</t>
  </si>
  <si>
    <t>HURAYPATA-SN-QUIQUIJANA</t>
  </si>
  <si>
    <t>YUPANQUI-A-JOSE-G-</t>
  </si>
  <si>
    <t>COM-HUARAYPATA-S-N</t>
  </si>
  <si>
    <t>AYMACHOQUE-AYMA--YOVANNA</t>
  </si>
  <si>
    <t>CALLE-JUAN-VELASCO-ALVARADO-S-</t>
  </si>
  <si>
    <t>CHALCO-M-PASCUALA</t>
  </si>
  <si>
    <t>HUARAYPATA---S-N</t>
  </si>
  <si>
    <t>CO020920</t>
  </si>
  <si>
    <t>CHURATA-CONDORI--SIXTO</t>
  </si>
  <si>
    <t>SECTOR-BANDA-OCCIDENTAL-S-N</t>
  </si>
  <si>
    <t>CO020923</t>
  </si>
  <si>
    <t>CCANA-QUISPE--PEDRO-ROLANDO</t>
  </si>
  <si>
    <t>ZEA-YAURI--NORBERTO</t>
  </si>
  <si>
    <t>CO020100</t>
  </si>
  <si>
    <t>QUISPE-AYMACHOQUE--JORGE</t>
  </si>
  <si>
    <t>ASOC--PRO-VIVIENDA-SOL-DE-TTIO</t>
  </si>
  <si>
    <t>CUBA-GUEVARA--ERIBERTO</t>
  </si>
  <si>
    <t>PRINCIPAL-S-N</t>
  </si>
  <si>
    <t>CHURA-PURIFICACION</t>
  </si>
  <si>
    <t>ROJAS-Y-MARIANO</t>
  </si>
  <si>
    <t>CCASA-M-FRANCISCO</t>
  </si>
  <si>
    <t>CALLA-CH-LEONCIO</t>
  </si>
  <si>
    <t>TTIO-I</t>
  </si>
  <si>
    <t>QUISPE-R-LUCIO</t>
  </si>
  <si>
    <t>COM-DE-TTIO-II</t>
  </si>
  <si>
    <t>HUAMAN-Y-FACUNDINO</t>
  </si>
  <si>
    <t>HUAMAN-E-MARCOS</t>
  </si>
  <si>
    <t>IG-CAPILLA-NUEVA</t>
  </si>
  <si>
    <t>CEMENTERIO</t>
  </si>
  <si>
    <t>HUAMAN-U-EMILIANO</t>
  </si>
  <si>
    <t>CHAUPICALLE-S-N-</t>
  </si>
  <si>
    <t>LLANCACURO-LEZAMA--BRAULIO</t>
  </si>
  <si>
    <t>COMUNIDAD-TTIO--S-N-</t>
  </si>
  <si>
    <t>QUISPE-R-GREGORIO</t>
  </si>
  <si>
    <t>CUBA-GUEVARA--SERGIO-GERMAN</t>
  </si>
  <si>
    <t>APV-EL-SOL-PJE-VALLECITO-A-4</t>
  </si>
  <si>
    <t>QUISPE-TTITO--LEONARDA</t>
  </si>
  <si>
    <t>APV-EL-SOL-JR-LOS-PINOS-H-6</t>
  </si>
  <si>
    <t>CO021989</t>
  </si>
  <si>
    <t>CCANAHUIRE-CCANAHUIRE--MARGARI</t>
  </si>
  <si>
    <t>COM-CALLATIAC</t>
  </si>
  <si>
    <t>HUAMAN-TTITO--RUBEN</t>
  </si>
  <si>
    <t>COM--CALLATIAC</t>
  </si>
  <si>
    <t>CO020378</t>
  </si>
  <si>
    <t>ZEA-YAURI--LUCIANA</t>
  </si>
  <si>
    <t>C-C--URINCCOSCCO</t>
  </si>
  <si>
    <t>TORRES-MAMANI--GABINA</t>
  </si>
  <si>
    <t>HUAMAN-YAURI--MARTIN</t>
  </si>
  <si>
    <t>YAURI-HUAMAN--ALEJANDRINA</t>
  </si>
  <si>
    <t>C-C-URINQOSQO--SECTOR--CENTRAL</t>
  </si>
  <si>
    <t>LOAIZA-CHURATA--GREGORIA</t>
  </si>
  <si>
    <t>YAURI-YAURI--CIRILA</t>
  </si>
  <si>
    <t>ZEA-YAURI--VICTORIA</t>
  </si>
  <si>
    <t>CCOYORI-YAURI--LUCILA</t>
  </si>
  <si>
    <t>HANCCO-LOAYZA--JACINTO</t>
  </si>
  <si>
    <t>SECTOR-QALQUI-CENTRAL-C-C-URIN</t>
  </si>
  <si>
    <t>ZEA-GUTIERREZ--FIDEL</t>
  </si>
  <si>
    <t>ZEA-YAURI--ROBERTO-</t>
  </si>
  <si>
    <t>CO020379</t>
  </si>
  <si>
    <t>CCACHA-SAIRE--PAULINO</t>
  </si>
  <si>
    <t>SECTOR-PUCACCOCHA-S-N</t>
  </si>
  <si>
    <t>TTITO-HUITTOCCOLLO--PAULA</t>
  </si>
  <si>
    <t>SECT--PUCACCOCHA--C-C-CALLATIA</t>
  </si>
  <si>
    <t>MENDOZA-TTITO--HERMINIO</t>
  </si>
  <si>
    <t>HUITTOCCOLLO-TTITO--PLACIDA</t>
  </si>
  <si>
    <t>CO020925</t>
  </si>
  <si>
    <t>CURASI-DE-CCANAHUIRE--SEVERINA</t>
  </si>
  <si>
    <t>SECTOR-KUCHUYRUMI-S-N</t>
  </si>
  <si>
    <t>CHUCTAYA-QUISPE--JUAN</t>
  </si>
  <si>
    <t>CO020098</t>
  </si>
  <si>
    <t>MARCOSA-SUNA-VDA--V-</t>
  </si>
  <si>
    <t>KQUEHUAR</t>
  </si>
  <si>
    <t>PFUNO-CH-NEMESIO</t>
  </si>
  <si>
    <t>PAMPA-KQUEHUAR-S-N-</t>
  </si>
  <si>
    <t>CONZA-F-FLORENCIO</t>
  </si>
  <si>
    <t>CHALLCO-A--JOSE</t>
  </si>
  <si>
    <t>CUSIHUALLPA-EDGAR</t>
  </si>
  <si>
    <t>YAURI-AGUILAR--FREDY-CARLOS</t>
  </si>
  <si>
    <t>TTITO-LUZA--ROGER</t>
  </si>
  <si>
    <t>C-C--PAMPA-QUEHUAR-S-N</t>
  </si>
  <si>
    <t>YAURI-CH-PORFIRIO</t>
  </si>
  <si>
    <t>CO021020</t>
  </si>
  <si>
    <t>ORMACHEA-LEZAMA--JULIA-PLACIDA</t>
  </si>
  <si>
    <t>SECTOR-SAN-JOSE-I</t>
  </si>
  <si>
    <t>CCOYORI-TORRES--APOLINAR</t>
  </si>
  <si>
    <t>C-C--QUEMPORAY</t>
  </si>
  <si>
    <t>SI050303</t>
  </si>
  <si>
    <t>ZEA-SURCO--APOLINAR</t>
  </si>
  <si>
    <t>MAMANI-CCOYORI--PIO</t>
  </si>
  <si>
    <t>ZEA-MERMA--ALFREDO</t>
  </si>
  <si>
    <t>HUAMAN-MERMA--BASILIO</t>
  </si>
  <si>
    <t>HUAMAN-CURASI--VALERIO</t>
  </si>
  <si>
    <t>CO031739</t>
  </si>
  <si>
    <t>JANAMPA-ARMUTO--PORFIRIO</t>
  </si>
  <si>
    <t>C--C--QUENQOMAYO</t>
  </si>
  <si>
    <t>CACERES-ARMUTO--NICOLAS-VICTOR</t>
  </si>
  <si>
    <t>JANAMPA-ARMUTO--ISABEL</t>
  </si>
  <si>
    <t>CO031718</t>
  </si>
  <si>
    <t>CCOLQUE-CONSA--FRANCISCO</t>
  </si>
  <si>
    <t>C-C--CUTY-HANANSAYA-S-N</t>
  </si>
  <si>
    <t>CO031738</t>
  </si>
  <si>
    <t>JANAMPA-TORRES--VICTOR</t>
  </si>
  <si>
    <t>C-C--CHOCCAYHUA</t>
  </si>
  <si>
    <t>JANAMPA-TORRES--LEONARDO-FELIX</t>
  </si>
  <si>
    <t>CO031677</t>
  </si>
  <si>
    <t>HUILLCA-HUILLCA--ADRIAN</t>
  </si>
  <si>
    <t>C-C--MACHACOYO-</t>
  </si>
  <si>
    <t>AYMA-CALLASI--ALBERTO</t>
  </si>
  <si>
    <t>HUILLCA-PUMA--MARIO</t>
  </si>
  <si>
    <t>HUILLCA-HUILLCA--EFRAIN</t>
  </si>
  <si>
    <t>CCOYORI-CCALLO--GREGORIO-LUCIA</t>
  </si>
  <si>
    <t>VILCA-HUILLCA--LUIS</t>
  </si>
  <si>
    <t>CO031678</t>
  </si>
  <si>
    <t>ARIZAPANA-QUISPE--FELICITAS</t>
  </si>
  <si>
    <t>C--C--ROSASPATA-YANAHUARA</t>
  </si>
  <si>
    <t>HUILLCA-HUILLCA--HERMOGENES</t>
  </si>
  <si>
    <t>PUMA-HUILLCA--EUSEBIO</t>
  </si>
  <si>
    <t>LLASCANOA-PUMA--CONSTANTINA-VI</t>
  </si>
  <si>
    <t>PUMA-ARIZAPANA--ELIZABETH</t>
  </si>
  <si>
    <t>AYMA-AYMA--ANGELICA</t>
  </si>
  <si>
    <t>LLASCANOA-ARIZAPANA--VICENTINA</t>
  </si>
  <si>
    <t>CCALLO-AYMA--JUSTA</t>
  </si>
  <si>
    <t>CO031735</t>
  </si>
  <si>
    <t>QUISPE-MAMANI--EZEQUIEL-DANIEL</t>
  </si>
  <si>
    <t>C-C--HUANCARA</t>
  </si>
  <si>
    <t>CO031680</t>
  </si>
  <si>
    <t>MAMANI-CCANAHUIRE--ELEUTERIO</t>
  </si>
  <si>
    <t>C-C--CHITIPAMPA</t>
  </si>
  <si>
    <t>CO031681</t>
  </si>
  <si>
    <t>MARCCUTA-DIAS--FERMIN</t>
  </si>
  <si>
    <t>C-C--JACHAPUCRO</t>
  </si>
  <si>
    <t>PFU-O-QUISPE--ISIDRO</t>
  </si>
  <si>
    <t>CO031731</t>
  </si>
  <si>
    <t>CCAHUAN-CASTRO--ANTONIO</t>
  </si>
  <si>
    <t>C-C--TRES-DE-MAYO</t>
  </si>
  <si>
    <t>PUMA-MUELLE--LEOPOLDO-WILFREDO</t>
  </si>
  <si>
    <t>CHULLO-CAYLLAHUA--PEDRO-PABLO</t>
  </si>
  <si>
    <t>CCALLO-MAMANI--MARIA-MAGDALENA</t>
  </si>
  <si>
    <t>JAVIER-FLOREZ--ANDRES</t>
  </si>
  <si>
    <t>CO031728</t>
  </si>
  <si>
    <t>BERNA-MAMANI--CEFERINO-URIEL</t>
  </si>
  <si>
    <t>C-C--PULPERA</t>
  </si>
  <si>
    <t>RUIS-MAMANI--ALBERTO</t>
  </si>
  <si>
    <t>CCANAHUIRE-MAMANI--PERCY</t>
  </si>
  <si>
    <t>TINTA-OROCHE--EUDES</t>
  </si>
  <si>
    <t>RUIZ-DE--SURCO--JUANA</t>
  </si>
  <si>
    <t>CO031729</t>
  </si>
  <si>
    <t>CCALLO-CAYLLAHUA--BENEDCITO</t>
  </si>
  <si>
    <t>C--C--CCOMAYO-ALTO</t>
  </si>
  <si>
    <t>CHOQUE-CORAHUA--ALEJANDRO</t>
  </si>
  <si>
    <t>CO030488</t>
  </si>
  <si>
    <t>INSTITUCION-EDUCATIVA--N---561</t>
  </si>
  <si>
    <t>ANEXO-CCOMAYO---QUEHUE</t>
  </si>
  <si>
    <t>I-E--INICIAL-N--850-DE-CCOMAYO</t>
  </si>
  <si>
    <t>C-C--CCOLLANA-S-N</t>
  </si>
  <si>
    <t>CO031732</t>
  </si>
  <si>
    <t>CCOYORE-RAMOS--EUSEBIO</t>
  </si>
  <si>
    <t>C--C--HUALLATOCCO</t>
  </si>
  <si>
    <t>CCOYORI-RUIZ--JUAN</t>
  </si>
  <si>
    <t>CO031733</t>
  </si>
  <si>
    <t>QUISPE-CCOYORI--AQUILINO</t>
  </si>
  <si>
    <t>C-C--MANURA</t>
  </si>
  <si>
    <t>PUMA-CHOQUE--JUDITH</t>
  </si>
  <si>
    <t>PUMA-PUMA--VIVIANA</t>
  </si>
  <si>
    <t>CCOYORI-CHULLO--GAVINO</t>
  </si>
  <si>
    <t>CO031737</t>
  </si>
  <si>
    <t>FLORES-QUISPE--VALENTINA</t>
  </si>
  <si>
    <t>C-C--CCOMAYO-HUAYCCO</t>
  </si>
  <si>
    <t>CCACHA  CHAMPI, ERASMO</t>
  </si>
  <si>
    <t>CHOQUE  APAZA, WILBER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</si>
</sst>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8"/>
      <name val="Tahoma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49"/>
  <sheetViews>
    <sheetView tabSelected="1" zoomScalePageLayoutView="0" workbookViewId="0" topLeftCell="A913">
      <selection activeCell="H747" sqref="H747"/>
    </sheetView>
  </sheetViews>
  <sheetFormatPr defaultColWidth="11.421875" defaultRowHeight="12.75"/>
  <cols>
    <col min="8" max="8" width="33.00390625" style="0" customWidth="1"/>
    <col min="9" max="9" width="33.8515625" style="0" customWidth="1"/>
  </cols>
  <sheetData>
    <row r="1" spans="1:1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ht="12.75">
      <c r="A2" t="s">
        <v>17</v>
      </c>
      <c r="B2" t="s">
        <v>18</v>
      </c>
      <c r="C2" t="s">
        <v>19</v>
      </c>
      <c r="D2" t="str">
        <f>CONCATENATE("0130000024","")</f>
        <v>0130000024</v>
      </c>
      <c r="E2" t="str">
        <f>CONCATENATE("0020101000290       ","")</f>
        <v>0020101000290       </v>
      </c>
      <c r="F2" t="str">
        <f>CONCATENATE("605083927","")</f>
        <v>605083927</v>
      </c>
      <c r="G2" t="s">
        <v>20</v>
      </c>
      <c r="H2" t="s">
        <v>21</v>
      </c>
      <c r="I2" t="s">
        <v>22</v>
      </c>
      <c r="J2" t="str">
        <f aca="true" t="shared" si="0" ref="J2:J35">CONCATENATE("080201","")</f>
        <v>080201</v>
      </c>
      <c r="K2" t="s">
        <v>23</v>
      </c>
      <c r="L2" t="s">
        <v>24</v>
      </c>
      <c r="M2" t="str">
        <f aca="true" t="shared" si="1" ref="M2:M33">CONCATENATE("1","")</f>
        <v>1</v>
      </c>
      <c r="O2" t="str">
        <f aca="true" t="shared" si="2" ref="O2:O37">CONCATENATE("1 ","")</f>
        <v>1 </v>
      </c>
      <c r="P2">
        <v>150.35</v>
      </c>
      <c r="Q2" t="s">
        <v>25</v>
      </c>
    </row>
    <row r="3" spans="1:17" ht="12.75">
      <c r="A3" t="s">
        <v>17</v>
      </c>
      <c r="B3" t="s">
        <v>18</v>
      </c>
      <c r="C3" t="s">
        <v>19</v>
      </c>
      <c r="D3" t="str">
        <f>CONCATENATE("0130014229","")</f>
        <v>0130014229</v>
      </c>
      <c r="E3" t="str">
        <f>CONCATENATE("0020101000315       ","")</f>
        <v>0020101000315       </v>
      </c>
      <c r="F3" t="str">
        <f>CONCATENATE("1219049","")</f>
        <v>1219049</v>
      </c>
      <c r="G3" t="s">
        <v>20</v>
      </c>
      <c r="H3" t="s">
        <v>26</v>
      </c>
      <c r="I3" t="s">
        <v>27</v>
      </c>
      <c r="J3" t="str">
        <f t="shared" si="0"/>
        <v>080201</v>
      </c>
      <c r="K3" t="s">
        <v>23</v>
      </c>
      <c r="L3" t="s">
        <v>24</v>
      </c>
      <c r="M3" t="str">
        <f t="shared" si="1"/>
        <v>1</v>
      </c>
      <c r="O3" t="str">
        <f t="shared" si="2"/>
        <v>1 </v>
      </c>
      <c r="P3">
        <v>16.1</v>
      </c>
      <c r="Q3" t="s">
        <v>25</v>
      </c>
    </row>
    <row r="4" spans="1:17" ht="12.75">
      <c r="A4" t="s">
        <v>17</v>
      </c>
      <c r="B4" t="s">
        <v>18</v>
      </c>
      <c r="C4" t="s">
        <v>19</v>
      </c>
      <c r="D4" t="str">
        <f>CONCATENATE("0130000026","")</f>
        <v>0130000026</v>
      </c>
      <c r="E4" t="str">
        <f>CONCATENATE("0020101000320       ","")</f>
        <v>0020101000320       </v>
      </c>
      <c r="F4" t="str">
        <f>CONCATENATE("605349711","")</f>
        <v>605349711</v>
      </c>
      <c r="G4" t="s">
        <v>20</v>
      </c>
      <c r="H4" t="s">
        <v>28</v>
      </c>
      <c r="I4" t="s">
        <v>22</v>
      </c>
      <c r="J4" t="str">
        <f t="shared" si="0"/>
        <v>080201</v>
      </c>
      <c r="K4" t="s">
        <v>23</v>
      </c>
      <c r="L4" t="s">
        <v>24</v>
      </c>
      <c r="M4" t="str">
        <f t="shared" si="1"/>
        <v>1</v>
      </c>
      <c r="O4" t="str">
        <f t="shared" si="2"/>
        <v>1 </v>
      </c>
      <c r="P4">
        <v>67.8</v>
      </c>
      <c r="Q4" t="s">
        <v>25</v>
      </c>
    </row>
    <row r="5" spans="1:17" ht="12.75">
      <c r="A5" t="s">
        <v>17</v>
      </c>
      <c r="B5" t="s">
        <v>18</v>
      </c>
      <c r="C5" t="s">
        <v>19</v>
      </c>
      <c r="D5" t="str">
        <f>CONCATENATE("0130008198","")</f>
        <v>0130008198</v>
      </c>
      <c r="E5" t="str">
        <f>CONCATENATE("0020101000434       ","")</f>
        <v>0020101000434       </v>
      </c>
      <c r="F5" t="str">
        <f>CONCATENATE("605083284","")</f>
        <v>605083284</v>
      </c>
      <c r="G5" t="s">
        <v>29</v>
      </c>
      <c r="H5" t="s">
        <v>30</v>
      </c>
      <c r="I5" t="s">
        <v>31</v>
      </c>
      <c r="J5" t="str">
        <f t="shared" si="0"/>
        <v>080201</v>
      </c>
      <c r="K5" t="s">
        <v>23</v>
      </c>
      <c r="L5" t="s">
        <v>24</v>
      </c>
      <c r="M5" t="str">
        <f t="shared" si="1"/>
        <v>1</v>
      </c>
      <c r="O5" t="str">
        <f t="shared" si="2"/>
        <v>1 </v>
      </c>
      <c r="P5">
        <v>11.55</v>
      </c>
      <c r="Q5" t="s">
        <v>25</v>
      </c>
    </row>
    <row r="6" spans="1:17" ht="12.75">
      <c r="A6" t="s">
        <v>17</v>
      </c>
      <c r="B6" t="s">
        <v>18</v>
      </c>
      <c r="C6" t="s">
        <v>19</v>
      </c>
      <c r="D6" t="str">
        <f>CONCATENATE("0130008842","")</f>
        <v>0130008842</v>
      </c>
      <c r="E6" t="str">
        <f>CONCATENATE("0020101000485       ","")</f>
        <v>0020101000485       </v>
      </c>
      <c r="F6" t="str">
        <f>CONCATENATE("606664541","")</f>
        <v>606664541</v>
      </c>
      <c r="G6" t="s">
        <v>20</v>
      </c>
      <c r="H6" t="s">
        <v>32</v>
      </c>
      <c r="I6" t="s">
        <v>33</v>
      </c>
      <c r="J6" t="str">
        <f t="shared" si="0"/>
        <v>080201</v>
      </c>
      <c r="K6" t="s">
        <v>23</v>
      </c>
      <c r="L6" t="s">
        <v>24</v>
      </c>
      <c r="M6" t="str">
        <f t="shared" si="1"/>
        <v>1</v>
      </c>
      <c r="O6" t="str">
        <f t="shared" si="2"/>
        <v>1 </v>
      </c>
      <c r="P6">
        <v>85</v>
      </c>
      <c r="Q6" t="s">
        <v>25</v>
      </c>
    </row>
    <row r="7" spans="1:17" ht="12.75">
      <c r="A7" t="s">
        <v>17</v>
      </c>
      <c r="B7" t="s">
        <v>18</v>
      </c>
      <c r="C7" t="s">
        <v>19</v>
      </c>
      <c r="D7" t="str">
        <f>CONCATENATE("0130016323","")</f>
        <v>0130016323</v>
      </c>
      <c r="E7" t="str">
        <f>CONCATENATE("0020101000515       ","")</f>
        <v>0020101000515       </v>
      </c>
      <c r="F7" t="str">
        <f>CONCATENATE("605394575","")</f>
        <v>605394575</v>
      </c>
      <c r="G7" t="s">
        <v>20</v>
      </c>
      <c r="H7" t="s">
        <v>34</v>
      </c>
      <c r="I7" t="s">
        <v>35</v>
      </c>
      <c r="J7" t="str">
        <f t="shared" si="0"/>
        <v>080201</v>
      </c>
      <c r="K7" t="s">
        <v>23</v>
      </c>
      <c r="L7" t="s">
        <v>24</v>
      </c>
      <c r="M7" t="str">
        <f t="shared" si="1"/>
        <v>1</v>
      </c>
      <c r="O7" t="str">
        <f t="shared" si="2"/>
        <v>1 </v>
      </c>
      <c r="P7">
        <v>20.75</v>
      </c>
      <c r="Q7" t="s">
        <v>25</v>
      </c>
    </row>
    <row r="8" spans="1:17" ht="12.75">
      <c r="A8" t="s">
        <v>17</v>
      </c>
      <c r="B8" t="s">
        <v>18</v>
      </c>
      <c r="C8" t="s">
        <v>19</v>
      </c>
      <c r="D8" t="str">
        <f>CONCATENATE("0130000046","")</f>
        <v>0130000046</v>
      </c>
      <c r="E8" t="str">
        <f>CONCATENATE("0020101000560       ","")</f>
        <v>0020101000560       </v>
      </c>
      <c r="F8" t="str">
        <f>CONCATENATE("606598199","")</f>
        <v>606598199</v>
      </c>
      <c r="G8" t="s">
        <v>20</v>
      </c>
      <c r="H8" t="s">
        <v>36</v>
      </c>
      <c r="I8" t="s">
        <v>37</v>
      </c>
      <c r="J8" t="str">
        <f t="shared" si="0"/>
        <v>080201</v>
      </c>
      <c r="K8" t="s">
        <v>23</v>
      </c>
      <c r="L8" t="s">
        <v>24</v>
      </c>
      <c r="M8" t="str">
        <f t="shared" si="1"/>
        <v>1</v>
      </c>
      <c r="O8" t="str">
        <f t="shared" si="2"/>
        <v>1 </v>
      </c>
      <c r="P8">
        <v>33.75</v>
      </c>
      <c r="Q8" t="s">
        <v>25</v>
      </c>
    </row>
    <row r="9" spans="1:17" ht="12.75">
      <c r="A9" t="s">
        <v>17</v>
      </c>
      <c r="B9" t="s">
        <v>18</v>
      </c>
      <c r="C9" t="s">
        <v>19</v>
      </c>
      <c r="D9" t="str">
        <f>CONCATENATE("0130011382","")</f>
        <v>0130011382</v>
      </c>
      <c r="E9" t="str">
        <f>CONCATENATE("0020101000680       ","")</f>
        <v>0020101000680       </v>
      </c>
      <c r="F9" t="str">
        <f>CONCATENATE("605742747","")</f>
        <v>605742747</v>
      </c>
      <c r="G9" t="s">
        <v>20</v>
      </c>
      <c r="H9" t="s">
        <v>38</v>
      </c>
      <c r="I9" t="s">
        <v>39</v>
      </c>
      <c r="J9" t="str">
        <f t="shared" si="0"/>
        <v>080201</v>
      </c>
      <c r="K9" t="s">
        <v>23</v>
      </c>
      <c r="L9" t="s">
        <v>24</v>
      </c>
      <c r="M9" t="str">
        <f t="shared" si="1"/>
        <v>1</v>
      </c>
      <c r="O9" t="str">
        <f t="shared" si="2"/>
        <v>1 </v>
      </c>
      <c r="P9">
        <v>59.35</v>
      </c>
      <c r="Q9" t="s">
        <v>25</v>
      </c>
    </row>
    <row r="10" spans="1:17" ht="12.75">
      <c r="A10" t="s">
        <v>17</v>
      </c>
      <c r="B10" t="s">
        <v>18</v>
      </c>
      <c r="C10" t="s">
        <v>19</v>
      </c>
      <c r="D10" t="str">
        <f>CONCATENATE("0130000072","")</f>
        <v>0130000072</v>
      </c>
      <c r="E10" t="str">
        <f>CONCATENATE("0020101001360       ","")</f>
        <v>0020101001360       </v>
      </c>
      <c r="F10" t="str">
        <f>CONCATENATE("605083911","")</f>
        <v>605083911</v>
      </c>
      <c r="G10" t="s">
        <v>20</v>
      </c>
      <c r="H10" t="s">
        <v>40</v>
      </c>
      <c r="I10" t="s">
        <v>41</v>
      </c>
      <c r="J10" t="str">
        <f t="shared" si="0"/>
        <v>080201</v>
      </c>
      <c r="K10" t="s">
        <v>23</v>
      </c>
      <c r="L10" t="s">
        <v>24</v>
      </c>
      <c r="M10" t="str">
        <f t="shared" si="1"/>
        <v>1</v>
      </c>
      <c r="O10" t="str">
        <f t="shared" si="2"/>
        <v>1 </v>
      </c>
      <c r="P10">
        <v>102.75</v>
      </c>
      <c r="Q10" t="s">
        <v>25</v>
      </c>
    </row>
    <row r="11" spans="1:17" ht="12.75">
      <c r="A11" t="s">
        <v>17</v>
      </c>
      <c r="B11" t="s">
        <v>18</v>
      </c>
      <c r="C11" t="s">
        <v>19</v>
      </c>
      <c r="D11" t="str">
        <f>CONCATENATE("0130010351","")</f>
        <v>0130010351</v>
      </c>
      <c r="E11" t="str">
        <f>CONCATENATE("0020101002285       ","")</f>
        <v>0020101002285       </v>
      </c>
      <c r="F11" t="str">
        <f>CONCATENATE("605765604","")</f>
        <v>605765604</v>
      </c>
      <c r="G11" t="s">
        <v>20</v>
      </c>
      <c r="H11" t="s">
        <v>42</v>
      </c>
      <c r="I11" t="s">
        <v>43</v>
      </c>
      <c r="J11" t="str">
        <f t="shared" si="0"/>
        <v>080201</v>
      </c>
      <c r="K11" t="s">
        <v>23</v>
      </c>
      <c r="L11" t="s">
        <v>24</v>
      </c>
      <c r="M11" t="str">
        <f t="shared" si="1"/>
        <v>1</v>
      </c>
      <c r="O11" t="str">
        <f t="shared" si="2"/>
        <v>1 </v>
      </c>
      <c r="P11">
        <v>149.65</v>
      </c>
      <c r="Q11" t="s">
        <v>25</v>
      </c>
    </row>
    <row r="12" spans="1:17" ht="12.75">
      <c r="A12" t="s">
        <v>17</v>
      </c>
      <c r="B12" t="s">
        <v>18</v>
      </c>
      <c r="C12" t="s">
        <v>19</v>
      </c>
      <c r="D12" t="str">
        <f>CONCATENATE("0130016285","")</f>
        <v>0130016285</v>
      </c>
      <c r="E12" t="str">
        <f>CONCATENATE("0020101002353       ","")</f>
        <v>0020101002353       </v>
      </c>
      <c r="F12" t="str">
        <f>CONCATENATE("605395210","")</f>
        <v>605395210</v>
      </c>
      <c r="G12" t="s">
        <v>20</v>
      </c>
      <c r="H12" t="s">
        <v>44</v>
      </c>
      <c r="I12" t="s">
        <v>45</v>
      </c>
      <c r="J12" t="str">
        <f t="shared" si="0"/>
        <v>080201</v>
      </c>
      <c r="K12" t="s">
        <v>23</v>
      </c>
      <c r="L12" t="s">
        <v>24</v>
      </c>
      <c r="M12" t="str">
        <f t="shared" si="1"/>
        <v>1</v>
      </c>
      <c r="O12" t="str">
        <f t="shared" si="2"/>
        <v>1 </v>
      </c>
      <c r="P12">
        <v>70.85</v>
      </c>
      <c r="Q12" t="s">
        <v>25</v>
      </c>
    </row>
    <row r="13" spans="1:17" ht="12.75">
      <c r="A13" t="s">
        <v>17</v>
      </c>
      <c r="B13" t="s">
        <v>18</v>
      </c>
      <c r="C13" t="s">
        <v>19</v>
      </c>
      <c r="D13" t="str">
        <f>CONCATENATE("0130020788","")</f>
        <v>0130020788</v>
      </c>
      <c r="E13" t="str">
        <f>CONCATENATE("0020101004100       ","")</f>
        <v>0020101004100       </v>
      </c>
      <c r="F13" t="str">
        <f>CONCATENATE("1672100","")</f>
        <v>1672100</v>
      </c>
      <c r="G13" t="s">
        <v>20</v>
      </c>
      <c r="H13" t="s">
        <v>46</v>
      </c>
      <c r="I13" t="s">
        <v>47</v>
      </c>
      <c r="J13" t="str">
        <f t="shared" si="0"/>
        <v>080201</v>
      </c>
      <c r="K13" t="s">
        <v>23</v>
      </c>
      <c r="L13" t="s">
        <v>24</v>
      </c>
      <c r="M13" t="str">
        <f t="shared" si="1"/>
        <v>1</v>
      </c>
      <c r="O13" t="str">
        <f t="shared" si="2"/>
        <v>1 </v>
      </c>
      <c r="P13">
        <v>22.3</v>
      </c>
      <c r="Q13" t="s">
        <v>25</v>
      </c>
    </row>
    <row r="14" spans="1:17" ht="12.75">
      <c r="A14" t="s">
        <v>17</v>
      </c>
      <c r="B14" t="s">
        <v>18</v>
      </c>
      <c r="C14" t="s">
        <v>19</v>
      </c>
      <c r="D14" t="str">
        <f>CONCATENATE("0130000134","")</f>
        <v>0130000134</v>
      </c>
      <c r="E14" t="str">
        <f>CONCATENATE("0020102000070       ","")</f>
        <v>0020102000070       </v>
      </c>
      <c r="F14" t="str">
        <f>CONCATENATE("01476921","")</f>
        <v>01476921</v>
      </c>
      <c r="G14" t="s">
        <v>48</v>
      </c>
      <c r="H14" t="s">
        <v>49</v>
      </c>
      <c r="I14" t="s">
        <v>50</v>
      </c>
      <c r="J14" t="str">
        <f t="shared" si="0"/>
        <v>080201</v>
      </c>
      <c r="K14" t="s">
        <v>23</v>
      </c>
      <c r="L14" t="s">
        <v>24</v>
      </c>
      <c r="M14" t="str">
        <f t="shared" si="1"/>
        <v>1</v>
      </c>
      <c r="O14" t="str">
        <f t="shared" si="2"/>
        <v>1 </v>
      </c>
      <c r="P14">
        <v>27.45</v>
      </c>
      <c r="Q14" t="s">
        <v>25</v>
      </c>
    </row>
    <row r="15" spans="1:17" ht="12.75">
      <c r="A15" t="s">
        <v>17</v>
      </c>
      <c r="B15" t="s">
        <v>18</v>
      </c>
      <c r="C15" t="s">
        <v>19</v>
      </c>
      <c r="D15" t="str">
        <f>CONCATENATE("0130008497","")</f>
        <v>0130008497</v>
      </c>
      <c r="E15" t="str">
        <f>CONCATENATE("0020102000205       ","")</f>
        <v>0020102000205       </v>
      </c>
      <c r="F15" t="str">
        <f>CONCATENATE("00755318","")</f>
        <v>00755318</v>
      </c>
      <c r="G15" t="s">
        <v>48</v>
      </c>
      <c r="H15" t="s">
        <v>51</v>
      </c>
      <c r="I15" t="s">
        <v>52</v>
      </c>
      <c r="J15" t="str">
        <f t="shared" si="0"/>
        <v>080201</v>
      </c>
      <c r="K15" t="s">
        <v>23</v>
      </c>
      <c r="L15" t="s">
        <v>24</v>
      </c>
      <c r="M15" t="str">
        <f t="shared" si="1"/>
        <v>1</v>
      </c>
      <c r="O15" t="str">
        <f t="shared" si="2"/>
        <v>1 </v>
      </c>
      <c r="P15">
        <v>15.55</v>
      </c>
      <c r="Q15" t="s">
        <v>25</v>
      </c>
    </row>
    <row r="16" spans="1:17" ht="12.75">
      <c r="A16" t="s">
        <v>17</v>
      </c>
      <c r="B16" t="s">
        <v>18</v>
      </c>
      <c r="C16" t="s">
        <v>19</v>
      </c>
      <c r="D16" t="str">
        <f>CONCATENATE("0040027508","")</f>
        <v>0040027508</v>
      </c>
      <c r="E16" t="str">
        <f>CONCATENATE("0020102000233       ","")</f>
        <v>0020102000233       </v>
      </c>
      <c r="F16" t="str">
        <f>CONCATENATE("2128381","")</f>
        <v>2128381</v>
      </c>
      <c r="G16" t="s">
        <v>48</v>
      </c>
      <c r="H16" t="s">
        <v>53</v>
      </c>
      <c r="I16" t="s">
        <v>52</v>
      </c>
      <c r="J16" t="str">
        <f t="shared" si="0"/>
        <v>080201</v>
      </c>
      <c r="K16" t="s">
        <v>23</v>
      </c>
      <c r="L16" t="s">
        <v>24</v>
      </c>
      <c r="M16" t="str">
        <f t="shared" si="1"/>
        <v>1</v>
      </c>
      <c r="O16" t="str">
        <f t="shared" si="2"/>
        <v>1 </v>
      </c>
      <c r="P16">
        <v>32.6</v>
      </c>
      <c r="Q16" t="s">
        <v>25</v>
      </c>
    </row>
    <row r="17" spans="1:17" ht="12.75">
      <c r="A17" t="s">
        <v>17</v>
      </c>
      <c r="B17" t="s">
        <v>18</v>
      </c>
      <c r="C17" t="s">
        <v>19</v>
      </c>
      <c r="D17" t="str">
        <f>CONCATENATE("0040036165","")</f>
        <v>0040036165</v>
      </c>
      <c r="E17" t="str">
        <f>CONCATENATE("0020102000553       ","")</f>
        <v>0020102000553       </v>
      </c>
      <c r="F17" t="str">
        <f>CONCATENATE("606664653","")</f>
        <v>606664653</v>
      </c>
      <c r="G17" t="s">
        <v>48</v>
      </c>
      <c r="H17" t="s">
        <v>54</v>
      </c>
      <c r="I17" t="s">
        <v>55</v>
      </c>
      <c r="J17" t="str">
        <f t="shared" si="0"/>
        <v>080201</v>
      </c>
      <c r="K17" t="s">
        <v>23</v>
      </c>
      <c r="L17" t="s">
        <v>24</v>
      </c>
      <c r="M17" t="str">
        <f t="shared" si="1"/>
        <v>1</v>
      </c>
      <c r="O17" t="str">
        <f t="shared" si="2"/>
        <v>1 </v>
      </c>
      <c r="P17">
        <v>23.55</v>
      </c>
      <c r="Q17" t="s">
        <v>25</v>
      </c>
    </row>
    <row r="18" spans="1:17" ht="12.75">
      <c r="A18" t="s">
        <v>17</v>
      </c>
      <c r="B18" t="s">
        <v>18</v>
      </c>
      <c r="C18" t="s">
        <v>19</v>
      </c>
      <c r="D18" t="str">
        <f>CONCATENATE("0130020247","")</f>
        <v>0130020247</v>
      </c>
      <c r="E18" t="str">
        <f>CONCATENATE("0020102000667       ","")</f>
        <v>0020102000667       </v>
      </c>
      <c r="F18" t="str">
        <f>CONCATENATE("605935131","")</f>
        <v>605935131</v>
      </c>
      <c r="G18" t="s">
        <v>48</v>
      </c>
      <c r="H18" t="s">
        <v>56</v>
      </c>
      <c r="I18" t="s">
        <v>57</v>
      </c>
      <c r="J18" t="str">
        <f t="shared" si="0"/>
        <v>080201</v>
      </c>
      <c r="K18" t="s">
        <v>23</v>
      </c>
      <c r="L18" t="s">
        <v>24</v>
      </c>
      <c r="M18" t="str">
        <f t="shared" si="1"/>
        <v>1</v>
      </c>
      <c r="O18" t="str">
        <f t="shared" si="2"/>
        <v>1 </v>
      </c>
      <c r="P18">
        <v>60.45</v>
      </c>
      <c r="Q18" t="s">
        <v>25</v>
      </c>
    </row>
    <row r="19" spans="1:17" ht="12.75">
      <c r="A19" t="s">
        <v>17</v>
      </c>
      <c r="B19" t="s">
        <v>18</v>
      </c>
      <c r="C19" t="s">
        <v>19</v>
      </c>
      <c r="D19" t="str">
        <f>CONCATENATE("0130017209","")</f>
        <v>0130017209</v>
      </c>
      <c r="E19" t="str">
        <f>CONCATENATE("0020102000718       ","")</f>
        <v>0020102000718       </v>
      </c>
      <c r="F19" t="str">
        <f>CONCATENATE("605766491","")</f>
        <v>605766491</v>
      </c>
      <c r="G19" t="s">
        <v>48</v>
      </c>
      <c r="H19" t="s">
        <v>58</v>
      </c>
      <c r="I19" t="s">
        <v>59</v>
      </c>
      <c r="J19" t="str">
        <f t="shared" si="0"/>
        <v>080201</v>
      </c>
      <c r="K19" t="s">
        <v>23</v>
      </c>
      <c r="L19" t="s">
        <v>24</v>
      </c>
      <c r="M19" t="str">
        <f t="shared" si="1"/>
        <v>1</v>
      </c>
      <c r="O19" t="str">
        <f t="shared" si="2"/>
        <v>1 </v>
      </c>
      <c r="P19">
        <v>17.55</v>
      </c>
      <c r="Q19" t="s">
        <v>25</v>
      </c>
    </row>
    <row r="20" spans="1:17" ht="12.75">
      <c r="A20" t="s">
        <v>17</v>
      </c>
      <c r="B20" t="s">
        <v>18</v>
      </c>
      <c r="C20" t="s">
        <v>19</v>
      </c>
      <c r="D20" t="str">
        <f>CONCATENATE("0130009981","")</f>
        <v>0130009981</v>
      </c>
      <c r="E20" t="str">
        <f>CONCATENATE("0020102000745       ","")</f>
        <v>0020102000745       </v>
      </c>
      <c r="F20" t="str">
        <f>CONCATENATE("605742754","")</f>
        <v>605742754</v>
      </c>
      <c r="G20" t="s">
        <v>48</v>
      </c>
      <c r="H20" t="s">
        <v>60</v>
      </c>
      <c r="I20" t="s">
        <v>61</v>
      </c>
      <c r="J20" t="str">
        <f t="shared" si="0"/>
        <v>080201</v>
      </c>
      <c r="K20" t="s">
        <v>23</v>
      </c>
      <c r="L20" t="s">
        <v>24</v>
      </c>
      <c r="M20" t="str">
        <f t="shared" si="1"/>
        <v>1</v>
      </c>
      <c r="O20" t="str">
        <f t="shared" si="2"/>
        <v>1 </v>
      </c>
      <c r="P20">
        <v>52.25</v>
      </c>
      <c r="Q20" t="s">
        <v>25</v>
      </c>
    </row>
    <row r="21" spans="1:17" ht="12.75">
      <c r="A21" t="s">
        <v>17</v>
      </c>
      <c r="B21" t="s">
        <v>18</v>
      </c>
      <c r="C21" t="s">
        <v>19</v>
      </c>
      <c r="D21" t="str">
        <f>CONCATENATE("0130010935","")</f>
        <v>0130010935</v>
      </c>
      <c r="E21" t="str">
        <f>CONCATENATE("0020102000775       ","")</f>
        <v>0020102000775       </v>
      </c>
      <c r="F21" t="str">
        <f>CONCATENATE("605565192","")</f>
        <v>605565192</v>
      </c>
      <c r="G21" t="s">
        <v>48</v>
      </c>
      <c r="H21" t="s">
        <v>62</v>
      </c>
      <c r="I21" t="s">
        <v>63</v>
      </c>
      <c r="J21" t="str">
        <f t="shared" si="0"/>
        <v>080201</v>
      </c>
      <c r="K21" t="s">
        <v>23</v>
      </c>
      <c r="L21" t="s">
        <v>24</v>
      </c>
      <c r="M21" t="str">
        <f t="shared" si="1"/>
        <v>1</v>
      </c>
      <c r="O21" t="str">
        <f t="shared" si="2"/>
        <v>1 </v>
      </c>
      <c r="P21">
        <v>96.9</v>
      </c>
      <c r="Q21" t="s">
        <v>25</v>
      </c>
    </row>
    <row r="22" spans="1:17" ht="12.75">
      <c r="A22" t="s">
        <v>17</v>
      </c>
      <c r="B22" t="s">
        <v>18</v>
      </c>
      <c r="C22" t="s">
        <v>19</v>
      </c>
      <c r="D22" t="str">
        <f>CONCATENATE("0130000199","")</f>
        <v>0130000199</v>
      </c>
      <c r="E22" t="str">
        <f>CONCATENATE("0020102000820       ","")</f>
        <v>0020102000820       </v>
      </c>
      <c r="F22" t="str">
        <f>CONCATENATE("605118909","")</f>
        <v>605118909</v>
      </c>
      <c r="G22" t="s">
        <v>48</v>
      </c>
      <c r="H22" t="s">
        <v>64</v>
      </c>
      <c r="I22" t="s">
        <v>65</v>
      </c>
      <c r="J22" t="str">
        <f t="shared" si="0"/>
        <v>080201</v>
      </c>
      <c r="K22" t="s">
        <v>23</v>
      </c>
      <c r="L22" t="s">
        <v>24</v>
      </c>
      <c r="M22" t="str">
        <f t="shared" si="1"/>
        <v>1</v>
      </c>
      <c r="O22" t="str">
        <f t="shared" si="2"/>
        <v>1 </v>
      </c>
      <c r="P22">
        <v>469.05</v>
      </c>
      <c r="Q22" t="s">
        <v>25</v>
      </c>
    </row>
    <row r="23" spans="1:17" ht="12.75">
      <c r="A23" t="s">
        <v>17</v>
      </c>
      <c r="B23" t="s">
        <v>18</v>
      </c>
      <c r="C23" t="s">
        <v>19</v>
      </c>
      <c r="D23" t="str">
        <f>CONCATENATE("0130021063","")</f>
        <v>0130021063</v>
      </c>
      <c r="E23" t="str">
        <f>CONCATENATE("0020102000855       ","")</f>
        <v>0020102000855       </v>
      </c>
      <c r="F23" t="str">
        <f>CONCATENATE("1871098","")</f>
        <v>1871098</v>
      </c>
      <c r="G23" t="s">
        <v>48</v>
      </c>
      <c r="H23" t="s">
        <v>66</v>
      </c>
      <c r="I23" t="s">
        <v>67</v>
      </c>
      <c r="J23" t="str">
        <f t="shared" si="0"/>
        <v>080201</v>
      </c>
      <c r="K23" t="s">
        <v>23</v>
      </c>
      <c r="L23" t="s">
        <v>24</v>
      </c>
      <c r="M23" t="str">
        <f t="shared" si="1"/>
        <v>1</v>
      </c>
      <c r="O23" t="str">
        <f t="shared" si="2"/>
        <v>1 </v>
      </c>
      <c r="P23">
        <v>27.6</v>
      </c>
      <c r="Q23" t="s">
        <v>25</v>
      </c>
    </row>
    <row r="24" spans="1:17" ht="12.75">
      <c r="A24" t="s">
        <v>17</v>
      </c>
      <c r="B24" t="s">
        <v>18</v>
      </c>
      <c r="C24" t="s">
        <v>19</v>
      </c>
      <c r="D24" t="str">
        <f>CONCATENATE("0130000221","")</f>
        <v>0130000221</v>
      </c>
      <c r="E24" t="str">
        <f>CONCATENATE("0020102001060       ","")</f>
        <v>0020102001060       </v>
      </c>
      <c r="F24" t="str">
        <f>CONCATENATE("606672966","")</f>
        <v>606672966</v>
      </c>
      <c r="G24" t="s">
        <v>48</v>
      </c>
      <c r="H24" t="s">
        <v>68</v>
      </c>
      <c r="I24" t="s">
        <v>69</v>
      </c>
      <c r="J24" t="str">
        <f t="shared" si="0"/>
        <v>080201</v>
      </c>
      <c r="K24" t="s">
        <v>23</v>
      </c>
      <c r="L24" t="s">
        <v>24</v>
      </c>
      <c r="M24" t="str">
        <f t="shared" si="1"/>
        <v>1</v>
      </c>
      <c r="O24" t="str">
        <f t="shared" si="2"/>
        <v>1 </v>
      </c>
      <c r="P24">
        <v>25.85</v>
      </c>
      <c r="Q24" t="s">
        <v>25</v>
      </c>
    </row>
    <row r="25" spans="1:17" ht="12.75">
      <c r="A25" t="s">
        <v>17</v>
      </c>
      <c r="B25" t="s">
        <v>18</v>
      </c>
      <c r="C25" t="s">
        <v>19</v>
      </c>
      <c r="D25" t="str">
        <f>CONCATENATE("0130021417","")</f>
        <v>0130021417</v>
      </c>
      <c r="E25" t="str">
        <f>CONCATENATE("0020102001435       ","")</f>
        <v>0020102001435       </v>
      </c>
      <c r="F25" t="str">
        <f>CONCATENATE("1931909","")</f>
        <v>1931909</v>
      </c>
      <c r="G25" t="s">
        <v>48</v>
      </c>
      <c r="H25" t="s">
        <v>70</v>
      </c>
      <c r="I25" t="s">
        <v>71</v>
      </c>
      <c r="J25" t="str">
        <f t="shared" si="0"/>
        <v>080201</v>
      </c>
      <c r="K25" t="s">
        <v>23</v>
      </c>
      <c r="L25" t="s">
        <v>24</v>
      </c>
      <c r="M25" t="str">
        <f t="shared" si="1"/>
        <v>1</v>
      </c>
      <c r="O25" t="str">
        <f t="shared" si="2"/>
        <v>1 </v>
      </c>
      <c r="P25">
        <v>60.9</v>
      </c>
      <c r="Q25" t="s">
        <v>25</v>
      </c>
    </row>
    <row r="26" spans="1:17" ht="12.75">
      <c r="A26" t="s">
        <v>17</v>
      </c>
      <c r="B26" t="s">
        <v>18</v>
      </c>
      <c r="C26" t="s">
        <v>19</v>
      </c>
      <c r="D26" t="str">
        <f>CONCATENATE("0130007297","")</f>
        <v>0130007297</v>
      </c>
      <c r="E26" t="str">
        <f>CONCATENATE("0020102001990       ","")</f>
        <v>0020102001990       </v>
      </c>
      <c r="F26" t="str">
        <f>CONCATENATE("605398399","")</f>
        <v>605398399</v>
      </c>
      <c r="G26" t="s">
        <v>20</v>
      </c>
      <c r="H26" t="s">
        <v>72</v>
      </c>
      <c r="I26" t="s">
        <v>73</v>
      </c>
      <c r="J26" t="str">
        <f t="shared" si="0"/>
        <v>080201</v>
      </c>
      <c r="K26" t="s">
        <v>23</v>
      </c>
      <c r="L26" t="s">
        <v>24</v>
      </c>
      <c r="M26" t="str">
        <f t="shared" si="1"/>
        <v>1</v>
      </c>
      <c r="O26" t="str">
        <f t="shared" si="2"/>
        <v>1 </v>
      </c>
      <c r="P26">
        <v>15.15</v>
      </c>
      <c r="Q26" t="s">
        <v>25</v>
      </c>
    </row>
    <row r="27" spans="1:17" ht="12.75">
      <c r="A27" t="s">
        <v>17</v>
      </c>
      <c r="B27" t="s">
        <v>18</v>
      </c>
      <c r="C27" t="s">
        <v>19</v>
      </c>
      <c r="D27" t="str">
        <f>CONCATENATE("0130000264","")</f>
        <v>0130000264</v>
      </c>
      <c r="E27" t="str">
        <f>CONCATENATE("0020102002110       ","")</f>
        <v>0020102002110       </v>
      </c>
      <c r="F27" t="str">
        <f>CONCATENATE("605083293","")</f>
        <v>605083293</v>
      </c>
      <c r="G27" t="s">
        <v>48</v>
      </c>
      <c r="H27" t="s">
        <v>74</v>
      </c>
      <c r="I27" t="s">
        <v>75</v>
      </c>
      <c r="J27" t="str">
        <f t="shared" si="0"/>
        <v>080201</v>
      </c>
      <c r="K27" t="s">
        <v>23</v>
      </c>
      <c r="L27" t="s">
        <v>24</v>
      </c>
      <c r="M27" t="str">
        <f t="shared" si="1"/>
        <v>1</v>
      </c>
      <c r="O27" t="str">
        <f t="shared" si="2"/>
        <v>1 </v>
      </c>
      <c r="P27">
        <v>15.6</v>
      </c>
      <c r="Q27" t="s">
        <v>25</v>
      </c>
    </row>
    <row r="28" spans="1:17" ht="12.75">
      <c r="A28" t="s">
        <v>17</v>
      </c>
      <c r="B28" t="s">
        <v>18</v>
      </c>
      <c r="C28" t="s">
        <v>19</v>
      </c>
      <c r="D28" t="str">
        <f>CONCATENATE("0130000265","")</f>
        <v>0130000265</v>
      </c>
      <c r="E28" t="str">
        <f>CONCATENATE("0020102002120       ","")</f>
        <v>0020102002120       </v>
      </c>
      <c r="F28" t="str">
        <f>CONCATENATE("605083285","")</f>
        <v>605083285</v>
      </c>
      <c r="G28" t="s">
        <v>48</v>
      </c>
      <c r="H28" t="s">
        <v>76</v>
      </c>
      <c r="I28" t="s">
        <v>75</v>
      </c>
      <c r="J28" t="str">
        <f t="shared" si="0"/>
        <v>080201</v>
      </c>
      <c r="K28" t="s">
        <v>23</v>
      </c>
      <c r="L28" t="s">
        <v>24</v>
      </c>
      <c r="M28" t="str">
        <f t="shared" si="1"/>
        <v>1</v>
      </c>
      <c r="O28" t="str">
        <f t="shared" si="2"/>
        <v>1 </v>
      </c>
      <c r="P28">
        <v>14.35</v>
      </c>
      <c r="Q28" t="s">
        <v>25</v>
      </c>
    </row>
    <row r="29" spans="1:17" ht="12.75">
      <c r="A29" t="s">
        <v>17</v>
      </c>
      <c r="B29" t="s">
        <v>18</v>
      </c>
      <c r="C29" t="s">
        <v>19</v>
      </c>
      <c r="D29" t="str">
        <f>CONCATENATE("0130015743","")</f>
        <v>0130015743</v>
      </c>
      <c r="E29" t="str">
        <f>CONCATENATE("0020102002215       ","")</f>
        <v>0020102002215       </v>
      </c>
      <c r="F29" t="str">
        <f>CONCATENATE("605288989","")</f>
        <v>605288989</v>
      </c>
      <c r="G29" t="s">
        <v>48</v>
      </c>
      <c r="H29" t="s">
        <v>77</v>
      </c>
      <c r="I29" t="s">
        <v>78</v>
      </c>
      <c r="J29" t="str">
        <f t="shared" si="0"/>
        <v>080201</v>
      </c>
      <c r="K29" t="s">
        <v>23</v>
      </c>
      <c r="L29" t="s">
        <v>24</v>
      </c>
      <c r="M29" t="str">
        <f t="shared" si="1"/>
        <v>1</v>
      </c>
      <c r="O29" t="str">
        <f t="shared" si="2"/>
        <v>1 </v>
      </c>
      <c r="P29">
        <v>16.7</v>
      </c>
      <c r="Q29" t="s">
        <v>25</v>
      </c>
    </row>
    <row r="30" spans="1:17" ht="12.75">
      <c r="A30" t="s">
        <v>17</v>
      </c>
      <c r="B30" t="s">
        <v>18</v>
      </c>
      <c r="C30" t="s">
        <v>19</v>
      </c>
      <c r="D30" t="str">
        <f>CONCATENATE("0130000280","")</f>
        <v>0130000280</v>
      </c>
      <c r="E30" t="str">
        <f>CONCATENATE("0020102002320       ","")</f>
        <v>0020102002320       </v>
      </c>
      <c r="F30" t="str">
        <f>CONCATENATE("605352123","")</f>
        <v>605352123</v>
      </c>
      <c r="G30" t="s">
        <v>20</v>
      </c>
      <c r="H30" t="s">
        <v>79</v>
      </c>
      <c r="I30" t="s">
        <v>41</v>
      </c>
      <c r="J30" t="str">
        <f t="shared" si="0"/>
        <v>080201</v>
      </c>
      <c r="K30" t="s">
        <v>23</v>
      </c>
      <c r="L30" t="s">
        <v>24</v>
      </c>
      <c r="M30" t="str">
        <f t="shared" si="1"/>
        <v>1</v>
      </c>
      <c r="O30" t="str">
        <f t="shared" si="2"/>
        <v>1 </v>
      </c>
      <c r="P30">
        <v>31.1</v>
      </c>
      <c r="Q30" t="s">
        <v>25</v>
      </c>
    </row>
    <row r="31" spans="1:17" ht="12.75">
      <c r="A31" t="s">
        <v>17</v>
      </c>
      <c r="B31" t="s">
        <v>18</v>
      </c>
      <c r="C31" t="s">
        <v>19</v>
      </c>
      <c r="D31" t="str">
        <f>CONCATENATE("0130017087","")</f>
        <v>0130017087</v>
      </c>
      <c r="E31" t="str">
        <f>CONCATENATE("0020102002350       ","")</f>
        <v>0020102002350       </v>
      </c>
      <c r="F31" t="str">
        <f>CONCATENATE("605757831","")</f>
        <v>605757831</v>
      </c>
      <c r="G31" t="s">
        <v>48</v>
      </c>
      <c r="H31" t="s">
        <v>80</v>
      </c>
      <c r="I31" t="s">
        <v>81</v>
      </c>
      <c r="J31" t="str">
        <f t="shared" si="0"/>
        <v>080201</v>
      </c>
      <c r="K31" t="s">
        <v>23</v>
      </c>
      <c r="L31" t="s">
        <v>24</v>
      </c>
      <c r="M31" t="str">
        <f t="shared" si="1"/>
        <v>1</v>
      </c>
      <c r="O31" t="str">
        <f t="shared" si="2"/>
        <v>1 </v>
      </c>
      <c r="P31">
        <v>317.55</v>
      </c>
      <c r="Q31" t="s">
        <v>25</v>
      </c>
    </row>
    <row r="32" spans="1:17" ht="12.75">
      <c r="A32" t="s">
        <v>17</v>
      </c>
      <c r="B32" t="s">
        <v>18</v>
      </c>
      <c r="C32" t="s">
        <v>19</v>
      </c>
      <c r="D32" t="str">
        <f>CONCATENATE("0130010292","")</f>
        <v>0130010292</v>
      </c>
      <c r="E32" t="str">
        <f>CONCATENATE("0020102005120       ","")</f>
        <v>0020102005120       </v>
      </c>
      <c r="F32" t="str">
        <f>CONCATENATE("605742731","")</f>
        <v>605742731</v>
      </c>
      <c r="G32" t="s">
        <v>29</v>
      </c>
      <c r="H32" t="s">
        <v>82</v>
      </c>
      <c r="I32" t="s">
        <v>83</v>
      </c>
      <c r="J32" t="str">
        <f t="shared" si="0"/>
        <v>080201</v>
      </c>
      <c r="K32" t="s">
        <v>23</v>
      </c>
      <c r="L32" t="s">
        <v>24</v>
      </c>
      <c r="M32" t="str">
        <f t="shared" si="1"/>
        <v>1</v>
      </c>
      <c r="O32" t="str">
        <f t="shared" si="2"/>
        <v>1 </v>
      </c>
      <c r="P32">
        <v>50.15</v>
      </c>
      <c r="Q32" t="s">
        <v>25</v>
      </c>
    </row>
    <row r="33" spans="1:17" ht="12.75">
      <c r="A33" t="s">
        <v>17</v>
      </c>
      <c r="B33" t="s">
        <v>18</v>
      </c>
      <c r="C33" t="s">
        <v>19</v>
      </c>
      <c r="D33" t="str">
        <f>CONCATENATE("0130013534","")</f>
        <v>0130013534</v>
      </c>
      <c r="E33" t="str">
        <f>CONCATENATE("0020102005230       ","")</f>
        <v>0020102005230       </v>
      </c>
      <c r="F33" t="str">
        <f>CONCATENATE("606603518","")</f>
        <v>606603518</v>
      </c>
      <c r="G33" t="s">
        <v>29</v>
      </c>
      <c r="H33" t="s">
        <v>84</v>
      </c>
      <c r="I33" t="s">
        <v>85</v>
      </c>
      <c r="J33" t="str">
        <f t="shared" si="0"/>
        <v>080201</v>
      </c>
      <c r="K33" t="s">
        <v>23</v>
      </c>
      <c r="L33" t="s">
        <v>24</v>
      </c>
      <c r="M33" t="str">
        <f t="shared" si="1"/>
        <v>1</v>
      </c>
      <c r="O33" t="str">
        <f t="shared" si="2"/>
        <v>1 </v>
      </c>
      <c r="P33">
        <v>35.15</v>
      </c>
      <c r="Q33" t="s">
        <v>25</v>
      </c>
    </row>
    <row r="34" spans="1:17" ht="12.75">
      <c r="A34" t="s">
        <v>17</v>
      </c>
      <c r="B34" t="s">
        <v>18</v>
      </c>
      <c r="C34" t="s">
        <v>19</v>
      </c>
      <c r="D34" t="str">
        <f>CONCATENATE("0130013313","")</f>
        <v>0130013313</v>
      </c>
      <c r="E34" t="str">
        <f>CONCATENATE("0020102005310       ","")</f>
        <v>0020102005310       </v>
      </c>
      <c r="F34" t="str">
        <f>CONCATENATE("606603519","")</f>
        <v>606603519</v>
      </c>
      <c r="G34" t="s">
        <v>29</v>
      </c>
      <c r="H34" t="s">
        <v>86</v>
      </c>
      <c r="I34" t="s">
        <v>87</v>
      </c>
      <c r="J34" t="str">
        <f t="shared" si="0"/>
        <v>080201</v>
      </c>
      <c r="K34" t="s">
        <v>23</v>
      </c>
      <c r="L34" t="s">
        <v>24</v>
      </c>
      <c r="M34" t="str">
        <f aca="true" t="shared" si="3" ref="M34:M51">CONCATENATE("1","")</f>
        <v>1</v>
      </c>
      <c r="O34" t="str">
        <f t="shared" si="2"/>
        <v>1 </v>
      </c>
      <c r="P34">
        <v>39.8</v>
      </c>
      <c r="Q34" t="s">
        <v>25</v>
      </c>
    </row>
    <row r="35" spans="1:17" ht="12.75">
      <c r="A35" t="s">
        <v>17</v>
      </c>
      <c r="B35" t="s">
        <v>18</v>
      </c>
      <c r="C35" t="s">
        <v>19</v>
      </c>
      <c r="D35" t="str">
        <f>CONCATENATE("0130010295","")</f>
        <v>0130010295</v>
      </c>
      <c r="E35" t="str">
        <f>CONCATENATE("0020102005650       ","")</f>
        <v>0020102005650       </v>
      </c>
      <c r="F35" t="str">
        <f>CONCATENATE("605740626","")</f>
        <v>605740626</v>
      </c>
      <c r="G35" t="s">
        <v>29</v>
      </c>
      <c r="H35" t="s">
        <v>88</v>
      </c>
      <c r="I35" t="s">
        <v>83</v>
      </c>
      <c r="J35" t="str">
        <f t="shared" si="0"/>
        <v>080201</v>
      </c>
      <c r="K35" t="s">
        <v>23</v>
      </c>
      <c r="L35" t="s">
        <v>24</v>
      </c>
      <c r="M35" t="str">
        <f t="shared" si="3"/>
        <v>1</v>
      </c>
      <c r="O35" t="str">
        <f t="shared" si="2"/>
        <v>1 </v>
      </c>
      <c r="P35">
        <v>12.75</v>
      </c>
      <c r="Q35" t="s">
        <v>25</v>
      </c>
    </row>
    <row r="36" spans="1:17" ht="12.75">
      <c r="A36" t="s">
        <v>17</v>
      </c>
      <c r="B36" t="s">
        <v>18</v>
      </c>
      <c r="C36" t="s">
        <v>89</v>
      </c>
      <c r="D36" t="str">
        <f>CONCATENATE("0130009273","")</f>
        <v>0130009273</v>
      </c>
      <c r="E36" t="str">
        <f>CONCATENATE("0020103000040       ","")</f>
        <v>0020103000040       </v>
      </c>
      <c r="F36" t="str">
        <f>CONCATENATE("605393739","")</f>
        <v>605393739</v>
      </c>
      <c r="G36" t="s">
        <v>90</v>
      </c>
      <c r="H36" t="s">
        <v>91</v>
      </c>
      <c r="I36" t="s">
        <v>92</v>
      </c>
      <c r="J36" t="str">
        <f>CONCATENATE("080203","")</f>
        <v>080203</v>
      </c>
      <c r="K36" t="s">
        <v>23</v>
      </c>
      <c r="L36" t="s">
        <v>24</v>
      </c>
      <c r="M36" t="str">
        <f t="shared" si="3"/>
        <v>1</v>
      </c>
      <c r="O36" t="str">
        <f t="shared" si="2"/>
        <v>1 </v>
      </c>
      <c r="P36">
        <v>13.4</v>
      </c>
      <c r="Q36" t="s">
        <v>25</v>
      </c>
    </row>
    <row r="37" spans="1:17" ht="12.75">
      <c r="A37" t="s">
        <v>17</v>
      </c>
      <c r="B37" t="s">
        <v>18</v>
      </c>
      <c r="C37" t="s">
        <v>19</v>
      </c>
      <c r="D37" t="str">
        <f>CONCATENATE("0130019427","")</f>
        <v>0130019427</v>
      </c>
      <c r="E37" t="str">
        <f>CONCATENATE("0020104001015       ","")</f>
        <v>0020104001015       </v>
      </c>
      <c r="F37" t="str">
        <f>CONCATENATE("605934829","")</f>
        <v>605934829</v>
      </c>
      <c r="G37" t="s">
        <v>93</v>
      </c>
      <c r="H37" t="s">
        <v>21</v>
      </c>
      <c r="I37" t="s">
        <v>94</v>
      </c>
      <c r="J37" t="str">
        <f aca="true" t="shared" si="4" ref="J37:J53">CONCATENATE("080201","")</f>
        <v>080201</v>
      </c>
      <c r="K37" t="s">
        <v>23</v>
      </c>
      <c r="L37" t="s">
        <v>24</v>
      </c>
      <c r="M37" t="str">
        <f t="shared" si="3"/>
        <v>1</v>
      </c>
      <c r="O37" t="str">
        <f t="shared" si="2"/>
        <v>1 </v>
      </c>
      <c r="P37">
        <v>13.45</v>
      </c>
      <c r="Q37" t="s">
        <v>25</v>
      </c>
    </row>
    <row r="38" spans="1:17" ht="12.75">
      <c r="A38" t="s">
        <v>17</v>
      </c>
      <c r="B38" t="s">
        <v>18</v>
      </c>
      <c r="C38" t="s">
        <v>19</v>
      </c>
      <c r="D38" t="str">
        <f>CONCATENATE("0130021609","")</f>
        <v>0130021609</v>
      </c>
      <c r="E38" t="str">
        <f>CONCATENATE("0020104002075       ","")</f>
        <v>0020104002075       </v>
      </c>
      <c r="F38" t="str">
        <f>CONCATENATE("1941220","")</f>
        <v>1941220</v>
      </c>
      <c r="G38" t="s">
        <v>93</v>
      </c>
      <c r="H38" t="s">
        <v>95</v>
      </c>
      <c r="I38" t="s">
        <v>96</v>
      </c>
      <c r="J38" t="str">
        <f t="shared" si="4"/>
        <v>080201</v>
      </c>
      <c r="K38" t="s">
        <v>23</v>
      </c>
      <c r="L38" t="s">
        <v>24</v>
      </c>
      <c r="M38" t="str">
        <f t="shared" si="3"/>
        <v>1</v>
      </c>
      <c r="O38" t="str">
        <f>CONCATENATE("2 ","")</f>
        <v>2 </v>
      </c>
      <c r="P38">
        <v>19.7</v>
      </c>
      <c r="Q38" t="s">
        <v>25</v>
      </c>
    </row>
    <row r="39" spans="1:17" ht="12.75">
      <c r="A39" t="s">
        <v>17</v>
      </c>
      <c r="B39" t="s">
        <v>18</v>
      </c>
      <c r="C39" t="s">
        <v>19</v>
      </c>
      <c r="D39" t="str">
        <f>CONCATENATE("0130017147","")</f>
        <v>0130017147</v>
      </c>
      <c r="E39" t="str">
        <f>CONCATENATE("0020106001280       ","")</f>
        <v>0020106001280       </v>
      </c>
      <c r="F39" t="str">
        <f>CONCATENATE("605751674","")</f>
        <v>605751674</v>
      </c>
      <c r="G39" t="s">
        <v>97</v>
      </c>
      <c r="H39" t="s">
        <v>98</v>
      </c>
      <c r="I39" t="s">
        <v>99</v>
      </c>
      <c r="J39" t="str">
        <f t="shared" si="4"/>
        <v>080201</v>
      </c>
      <c r="K39" t="s">
        <v>23</v>
      </c>
      <c r="L39" t="s">
        <v>24</v>
      </c>
      <c r="M39" t="str">
        <f t="shared" si="3"/>
        <v>1</v>
      </c>
      <c r="O39" t="str">
        <f aca="true" t="shared" si="5" ref="O39:O44">CONCATENATE("1 ","")</f>
        <v>1 </v>
      </c>
      <c r="P39">
        <v>20</v>
      </c>
      <c r="Q39" t="s">
        <v>25</v>
      </c>
    </row>
    <row r="40" spans="1:17" ht="12.75">
      <c r="A40" t="s">
        <v>17</v>
      </c>
      <c r="B40" t="s">
        <v>18</v>
      </c>
      <c r="C40" t="s">
        <v>19</v>
      </c>
      <c r="D40" t="str">
        <f>CONCATENATE("0130017150","")</f>
        <v>0130017150</v>
      </c>
      <c r="E40" t="str">
        <f>CONCATENATE("0020106002020       ","")</f>
        <v>0020106002020       </v>
      </c>
      <c r="F40" t="str">
        <f>CONCATENATE("605761677","")</f>
        <v>605761677</v>
      </c>
      <c r="G40" t="s">
        <v>97</v>
      </c>
      <c r="H40" t="s">
        <v>100</v>
      </c>
      <c r="I40" t="s">
        <v>99</v>
      </c>
      <c r="J40" t="str">
        <f t="shared" si="4"/>
        <v>080201</v>
      </c>
      <c r="K40" t="s">
        <v>23</v>
      </c>
      <c r="L40" t="s">
        <v>24</v>
      </c>
      <c r="M40" t="str">
        <f t="shared" si="3"/>
        <v>1</v>
      </c>
      <c r="O40" t="str">
        <f t="shared" si="5"/>
        <v>1 </v>
      </c>
      <c r="P40">
        <v>12</v>
      </c>
      <c r="Q40" t="s">
        <v>25</v>
      </c>
    </row>
    <row r="41" spans="1:17" ht="12.75">
      <c r="A41" t="s">
        <v>17</v>
      </c>
      <c r="B41" t="s">
        <v>18</v>
      </c>
      <c r="C41" t="s">
        <v>19</v>
      </c>
      <c r="D41" t="str">
        <f>CONCATENATE("0130017156","")</f>
        <v>0130017156</v>
      </c>
      <c r="E41" t="str">
        <f>CONCATENATE("0020106002070       ","")</f>
        <v>0020106002070       </v>
      </c>
      <c r="F41" t="str">
        <f>CONCATENATE("605761683","")</f>
        <v>605761683</v>
      </c>
      <c r="G41" t="s">
        <v>97</v>
      </c>
      <c r="H41" t="s">
        <v>101</v>
      </c>
      <c r="I41" t="s">
        <v>99</v>
      </c>
      <c r="J41" t="str">
        <f t="shared" si="4"/>
        <v>080201</v>
      </c>
      <c r="K41" t="s">
        <v>23</v>
      </c>
      <c r="L41" t="s">
        <v>24</v>
      </c>
      <c r="M41" t="str">
        <f t="shared" si="3"/>
        <v>1</v>
      </c>
      <c r="O41" t="str">
        <f t="shared" si="5"/>
        <v>1 </v>
      </c>
      <c r="P41">
        <v>20</v>
      </c>
      <c r="Q41" t="s">
        <v>25</v>
      </c>
    </row>
    <row r="42" spans="1:17" ht="12.75">
      <c r="A42" t="s">
        <v>17</v>
      </c>
      <c r="B42" t="s">
        <v>18</v>
      </c>
      <c r="C42" t="s">
        <v>19</v>
      </c>
      <c r="D42" t="str">
        <f>CONCATENATE("0130009471","")</f>
        <v>0130009471</v>
      </c>
      <c r="E42" t="str">
        <f>CONCATENATE("0020114000048       ","")</f>
        <v>0020114000048       </v>
      </c>
      <c r="F42" t="str">
        <f>CONCATENATE("605352029","")</f>
        <v>605352029</v>
      </c>
      <c r="G42" t="s">
        <v>102</v>
      </c>
      <c r="H42" t="s">
        <v>103</v>
      </c>
      <c r="I42" t="s">
        <v>104</v>
      </c>
      <c r="J42" t="str">
        <f t="shared" si="4"/>
        <v>080201</v>
      </c>
      <c r="K42" t="s">
        <v>23</v>
      </c>
      <c r="L42" t="s">
        <v>24</v>
      </c>
      <c r="M42" t="str">
        <f t="shared" si="3"/>
        <v>1</v>
      </c>
      <c r="O42" t="str">
        <f t="shared" si="5"/>
        <v>1 </v>
      </c>
      <c r="P42">
        <v>25.15</v>
      </c>
      <c r="Q42" t="s">
        <v>25</v>
      </c>
    </row>
    <row r="43" spans="1:17" ht="12.75">
      <c r="A43" t="s">
        <v>17</v>
      </c>
      <c r="B43" t="s">
        <v>18</v>
      </c>
      <c r="C43" t="s">
        <v>19</v>
      </c>
      <c r="D43" t="str">
        <f>CONCATENATE("0130013158","")</f>
        <v>0130013158</v>
      </c>
      <c r="E43" t="str">
        <f>CONCATENATE("0020114000049       ","")</f>
        <v>0020114000049       </v>
      </c>
      <c r="F43" t="str">
        <f>CONCATENATE("606598222","")</f>
        <v>606598222</v>
      </c>
      <c r="G43" t="s">
        <v>102</v>
      </c>
      <c r="H43" t="s">
        <v>105</v>
      </c>
      <c r="I43" t="s">
        <v>106</v>
      </c>
      <c r="J43" t="str">
        <f t="shared" si="4"/>
        <v>080201</v>
      </c>
      <c r="K43" t="s">
        <v>23</v>
      </c>
      <c r="L43" t="s">
        <v>24</v>
      </c>
      <c r="M43" t="str">
        <f t="shared" si="3"/>
        <v>1</v>
      </c>
      <c r="O43" t="str">
        <f t="shared" si="5"/>
        <v>1 </v>
      </c>
      <c r="P43">
        <v>29.9</v>
      </c>
      <c r="Q43" t="s">
        <v>25</v>
      </c>
    </row>
    <row r="44" spans="1:17" ht="12.75">
      <c r="A44" t="s">
        <v>17</v>
      </c>
      <c r="B44" t="s">
        <v>18</v>
      </c>
      <c r="C44" t="s">
        <v>19</v>
      </c>
      <c r="D44" t="str">
        <f>CONCATENATE("0130009428","")</f>
        <v>0130009428</v>
      </c>
      <c r="E44" t="str">
        <f>CONCATENATE("0020114000207       ","")</f>
        <v>0020114000207       </v>
      </c>
      <c r="F44" t="str">
        <f>CONCATENATE("605349926","")</f>
        <v>605349926</v>
      </c>
      <c r="G44" t="s">
        <v>102</v>
      </c>
      <c r="H44" t="s">
        <v>107</v>
      </c>
      <c r="I44" t="s">
        <v>106</v>
      </c>
      <c r="J44" t="str">
        <f t="shared" si="4"/>
        <v>080201</v>
      </c>
      <c r="K44" t="s">
        <v>23</v>
      </c>
      <c r="L44" t="s">
        <v>24</v>
      </c>
      <c r="M44" t="str">
        <f t="shared" si="3"/>
        <v>1</v>
      </c>
      <c r="O44" t="str">
        <f t="shared" si="5"/>
        <v>1 </v>
      </c>
      <c r="P44">
        <v>16.2</v>
      </c>
      <c r="Q44" t="s">
        <v>25</v>
      </c>
    </row>
    <row r="45" spans="1:17" ht="12.75">
      <c r="A45" t="s">
        <v>17</v>
      </c>
      <c r="B45" t="s">
        <v>18</v>
      </c>
      <c r="C45" t="s">
        <v>19</v>
      </c>
      <c r="D45" t="str">
        <f>CONCATENATE("0130009630","")</f>
        <v>0130009630</v>
      </c>
      <c r="E45" t="str">
        <f>CONCATENATE("0020114000473       ","")</f>
        <v>0020114000473       </v>
      </c>
      <c r="F45" t="str">
        <f>CONCATENATE("605742889","")</f>
        <v>605742889</v>
      </c>
      <c r="G45" t="s">
        <v>102</v>
      </c>
      <c r="H45" t="s">
        <v>108</v>
      </c>
      <c r="I45" t="s">
        <v>109</v>
      </c>
      <c r="J45" t="str">
        <f t="shared" si="4"/>
        <v>080201</v>
      </c>
      <c r="K45" t="s">
        <v>23</v>
      </c>
      <c r="L45" t="s">
        <v>24</v>
      </c>
      <c r="M45" t="str">
        <f t="shared" si="3"/>
        <v>1</v>
      </c>
      <c r="O45" t="str">
        <f>CONCATENATE("3 ","")</f>
        <v>3 </v>
      </c>
      <c r="P45">
        <v>74.25</v>
      </c>
      <c r="Q45" t="s">
        <v>25</v>
      </c>
    </row>
    <row r="46" spans="1:17" ht="12.75">
      <c r="A46" t="s">
        <v>17</v>
      </c>
      <c r="B46" t="s">
        <v>18</v>
      </c>
      <c r="C46" t="s">
        <v>19</v>
      </c>
      <c r="D46" t="str">
        <f>CONCATENATE("0130011051","")</f>
        <v>0130011051</v>
      </c>
      <c r="E46" t="str">
        <f>CONCATENATE("0020114000474       ","")</f>
        <v>0020114000474       </v>
      </c>
      <c r="F46" t="str">
        <f>CONCATENATE("1600258","")</f>
        <v>1600258</v>
      </c>
      <c r="G46" t="s">
        <v>102</v>
      </c>
      <c r="H46" t="s">
        <v>110</v>
      </c>
      <c r="I46" t="s">
        <v>111</v>
      </c>
      <c r="J46" t="str">
        <f t="shared" si="4"/>
        <v>080201</v>
      </c>
      <c r="K46" t="s">
        <v>23</v>
      </c>
      <c r="L46" t="s">
        <v>24</v>
      </c>
      <c r="M46" t="str">
        <f t="shared" si="3"/>
        <v>1</v>
      </c>
      <c r="O46" t="str">
        <f aca="true" t="shared" si="6" ref="O46:O68">CONCATENATE("1 ","")</f>
        <v>1 </v>
      </c>
      <c r="P46">
        <v>14.75</v>
      </c>
      <c r="Q46" t="s">
        <v>25</v>
      </c>
    </row>
    <row r="47" spans="1:17" ht="12.75">
      <c r="A47" t="s">
        <v>17</v>
      </c>
      <c r="B47" t="s">
        <v>18</v>
      </c>
      <c r="C47" t="s">
        <v>19</v>
      </c>
      <c r="D47" t="str">
        <f>CONCATENATE("0130009631","")</f>
        <v>0130009631</v>
      </c>
      <c r="E47" t="str">
        <f>CONCATENATE("0020114000475       ","")</f>
        <v>0020114000475       </v>
      </c>
      <c r="F47" t="str">
        <f>CONCATENATE("605391443","")</f>
        <v>605391443</v>
      </c>
      <c r="G47" t="s">
        <v>102</v>
      </c>
      <c r="H47" t="s">
        <v>112</v>
      </c>
      <c r="I47" t="s">
        <v>113</v>
      </c>
      <c r="J47" t="str">
        <f t="shared" si="4"/>
        <v>080201</v>
      </c>
      <c r="K47" t="s">
        <v>23</v>
      </c>
      <c r="L47" t="s">
        <v>24</v>
      </c>
      <c r="M47" t="str">
        <f t="shared" si="3"/>
        <v>1</v>
      </c>
      <c r="O47" t="str">
        <f t="shared" si="6"/>
        <v>1 </v>
      </c>
      <c r="P47">
        <v>19.5</v>
      </c>
      <c r="Q47" t="s">
        <v>25</v>
      </c>
    </row>
    <row r="48" spans="1:17" ht="12.75">
      <c r="A48" t="s">
        <v>17</v>
      </c>
      <c r="B48" t="s">
        <v>18</v>
      </c>
      <c r="C48" t="s">
        <v>19</v>
      </c>
      <c r="D48" t="str">
        <f>CONCATENATE("0130009423","")</f>
        <v>0130009423</v>
      </c>
      <c r="E48" t="str">
        <f>CONCATENATE("0020114000520       ","")</f>
        <v>0020114000520       </v>
      </c>
      <c r="F48" t="str">
        <f>CONCATENATE("605349327","")</f>
        <v>605349327</v>
      </c>
      <c r="G48" t="s">
        <v>102</v>
      </c>
      <c r="H48" t="s">
        <v>114</v>
      </c>
      <c r="I48" t="s">
        <v>106</v>
      </c>
      <c r="J48" t="str">
        <f t="shared" si="4"/>
        <v>080201</v>
      </c>
      <c r="K48" t="s">
        <v>23</v>
      </c>
      <c r="L48" t="s">
        <v>24</v>
      </c>
      <c r="M48" t="str">
        <f t="shared" si="3"/>
        <v>1</v>
      </c>
      <c r="O48" t="str">
        <f t="shared" si="6"/>
        <v>1 </v>
      </c>
      <c r="P48">
        <v>22.3</v>
      </c>
      <c r="Q48" t="s">
        <v>25</v>
      </c>
    </row>
    <row r="49" spans="1:17" ht="12.75">
      <c r="A49" t="s">
        <v>17</v>
      </c>
      <c r="B49" t="s">
        <v>18</v>
      </c>
      <c r="C49" t="s">
        <v>19</v>
      </c>
      <c r="D49" t="str">
        <f>CONCATENATE("0130014135","")</f>
        <v>0130014135</v>
      </c>
      <c r="E49" t="str">
        <f>CONCATENATE("0020114000596       ","")</f>
        <v>0020114000596       </v>
      </c>
      <c r="F49" t="str">
        <f>CONCATENATE("606598206","")</f>
        <v>606598206</v>
      </c>
      <c r="G49" t="s">
        <v>102</v>
      </c>
      <c r="H49" t="s">
        <v>115</v>
      </c>
      <c r="I49" t="s">
        <v>116</v>
      </c>
      <c r="J49" t="str">
        <f t="shared" si="4"/>
        <v>080201</v>
      </c>
      <c r="K49" t="s">
        <v>23</v>
      </c>
      <c r="L49" t="s">
        <v>24</v>
      </c>
      <c r="M49" t="str">
        <f t="shared" si="3"/>
        <v>1</v>
      </c>
      <c r="O49" t="str">
        <f t="shared" si="6"/>
        <v>1 </v>
      </c>
      <c r="P49">
        <v>10.55</v>
      </c>
      <c r="Q49" t="s">
        <v>25</v>
      </c>
    </row>
    <row r="50" spans="1:17" ht="12.75">
      <c r="A50" t="s">
        <v>17</v>
      </c>
      <c r="B50" t="s">
        <v>18</v>
      </c>
      <c r="C50" t="s">
        <v>19</v>
      </c>
      <c r="D50" t="str">
        <f>CONCATENATE("0130009692","")</f>
        <v>0130009692</v>
      </c>
      <c r="E50" t="str">
        <f>CONCATENATE("0020115000021       ","")</f>
        <v>0020115000021       </v>
      </c>
      <c r="F50" t="str">
        <f>CONCATENATE("605740602","")</f>
        <v>605740602</v>
      </c>
      <c r="G50" t="s">
        <v>117</v>
      </c>
      <c r="H50" t="s">
        <v>118</v>
      </c>
      <c r="I50" t="s">
        <v>119</v>
      </c>
      <c r="J50" t="str">
        <f t="shared" si="4"/>
        <v>080201</v>
      </c>
      <c r="K50" t="s">
        <v>23</v>
      </c>
      <c r="L50" t="s">
        <v>24</v>
      </c>
      <c r="M50" t="str">
        <f t="shared" si="3"/>
        <v>1</v>
      </c>
      <c r="O50" t="str">
        <f t="shared" si="6"/>
        <v>1 </v>
      </c>
      <c r="P50">
        <v>13.7</v>
      </c>
      <c r="Q50" t="s">
        <v>25</v>
      </c>
    </row>
    <row r="51" spans="1:17" ht="12.75">
      <c r="A51" t="s">
        <v>17</v>
      </c>
      <c r="B51" t="s">
        <v>18</v>
      </c>
      <c r="C51" t="s">
        <v>19</v>
      </c>
      <c r="D51" t="str">
        <f>CONCATENATE("0130009435","")</f>
        <v>0130009435</v>
      </c>
      <c r="E51" t="str">
        <f>CONCATENATE("0020115000173       ","")</f>
        <v>0020115000173       </v>
      </c>
      <c r="F51" t="str">
        <f>CONCATENATE("605393728","")</f>
        <v>605393728</v>
      </c>
      <c r="G51" t="s">
        <v>117</v>
      </c>
      <c r="H51" t="s">
        <v>120</v>
      </c>
      <c r="I51" t="s">
        <v>121</v>
      </c>
      <c r="J51" t="str">
        <f t="shared" si="4"/>
        <v>080201</v>
      </c>
      <c r="K51" t="s">
        <v>23</v>
      </c>
      <c r="L51" t="s">
        <v>24</v>
      </c>
      <c r="M51" t="str">
        <f t="shared" si="3"/>
        <v>1</v>
      </c>
      <c r="O51" t="str">
        <f t="shared" si="6"/>
        <v>1 </v>
      </c>
      <c r="P51">
        <v>13.9</v>
      </c>
      <c r="Q51" t="s">
        <v>25</v>
      </c>
    </row>
    <row r="52" spans="1:17" ht="12.75">
      <c r="A52" t="s">
        <v>17</v>
      </c>
      <c r="B52" t="s">
        <v>18</v>
      </c>
      <c r="C52" t="s">
        <v>19</v>
      </c>
      <c r="D52" t="str">
        <f>CONCATENATE("0130011722","")</f>
        <v>0130011722</v>
      </c>
      <c r="E52" t="str">
        <f>CONCATENATE("0020115000753       ","")</f>
        <v>0020115000753       </v>
      </c>
      <c r="F52" t="str">
        <f>CONCATENATE("00409552502","")</f>
        <v>00409552502</v>
      </c>
      <c r="G52" t="s">
        <v>117</v>
      </c>
      <c r="H52" t="s">
        <v>122</v>
      </c>
      <c r="I52" t="s">
        <v>123</v>
      </c>
      <c r="J52" t="str">
        <f t="shared" si="4"/>
        <v>080201</v>
      </c>
      <c r="K52" t="s">
        <v>23</v>
      </c>
      <c r="L52" t="s">
        <v>24</v>
      </c>
      <c r="M52" t="str">
        <f>CONCATENATE("3","")</f>
        <v>3</v>
      </c>
      <c r="O52" t="str">
        <f t="shared" si="6"/>
        <v>1 </v>
      </c>
      <c r="P52">
        <v>13.35</v>
      </c>
      <c r="Q52" t="s">
        <v>124</v>
      </c>
    </row>
    <row r="53" spans="1:17" ht="12.75">
      <c r="A53" t="s">
        <v>17</v>
      </c>
      <c r="B53" t="s">
        <v>18</v>
      </c>
      <c r="C53" t="s">
        <v>19</v>
      </c>
      <c r="D53" t="str">
        <f>CONCATENATE("0130009329","")</f>
        <v>0130009329</v>
      </c>
      <c r="E53" t="str">
        <f>CONCATENATE("0020115000820       ","")</f>
        <v>0020115000820       </v>
      </c>
      <c r="F53" t="str">
        <f>CONCATENATE("605121363","")</f>
        <v>605121363</v>
      </c>
      <c r="G53" t="s">
        <v>117</v>
      </c>
      <c r="H53" t="s">
        <v>125</v>
      </c>
      <c r="I53" t="s">
        <v>126</v>
      </c>
      <c r="J53" t="str">
        <f t="shared" si="4"/>
        <v>080201</v>
      </c>
      <c r="K53" t="s">
        <v>23</v>
      </c>
      <c r="L53" t="s">
        <v>24</v>
      </c>
      <c r="M53" t="str">
        <f aca="true" t="shared" si="7" ref="M53:M72">CONCATENATE("1","")</f>
        <v>1</v>
      </c>
      <c r="O53" t="str">
        <f t="shared" si="6"/>
        <v>1 </v>
      </c>
      <c r="P53">
        <v>21.05</v>
      </c>
      <c r="Q53" t="s">
        <v>25</v>
      </c>
    </row>
    <row r="54" spans="1:17" ht="12.75">
      <c r="A54" t="s">
        <v>17</v>
      </c>
      <c r="B54" t="s">
        <v>18</v>
      </c>
      <c r="C54" t="s">
        <v>127</v>
      </c>
      <c r="D54" t="str">
        <f>CONCATENATE("0040040357","")</f>
        <v>0040040357</v>
      </c>
      <c r="E54" t="str">
        <f>CONCATENATE("0020115000895       ","")</f>
        <v>0020115000895       </v>
      </c>
      <c r="F54" t="str">
        <f>CONCATENATE("606845801","")</f>
        <v>606845801</v>
      </c>
      <c r="G54" t="s">
        <v>117</v>
      </c>
      <c r="H54" t="s">
        <v>128</v>
      </c>
      <c r="I54" t="s">
        <v>129</v>
      </c>
      <c r="J54" t="str">
        <f>CONCATENATE("080605","")</f>
        <v>080605</v>
      </c>
      <c r="K54" t="s">
        <v>23</v>
      </c>
      <c r="L54" t="s">
        <v>24</v>
      </c>
      <c r="M54" t="str">
        <f t="shared" si="7"/>
        <v>1</v>
      </c>
      <c r="O54" t="str">
        <f t="shared" si="6"/>
        <v>1 </v>
      </c>
      <c r="P54">
        <v>13.95</v>
      </c>
      <c r="Q54" t="s">
        <v>25</v>
      </c>
    </row>
    <row r="55" spans="1:17" ht="12.75">
      <c r="A55" t="s">
        <v>17</v>
      </c>
      <c r="B55" t="s">
        <v>18</v>
      </c>
      <c r="C55" t="s">
        <v>19</v>
      </c>
      <c r="D55" t="str">
        <f>CONCATENATE("0130009794","")</f>
        <v>0130009794</v>
      </c>
      <c r="E55" t="str">
        <f>CONCATENATE("0020116001241       ","")</f>
        <v>0020116001241       </v>
      </c>
      <c r="F55" t="str">
        <f>CONCATENATE("00001115915","")</f>
        <v>00001115915</v>
      </c>
      <c r="G55" t="s">
        <v>117</v>
      </c>
      <c r="H55" t="s">
        <v>130</v>
      </c>
      <c r="I55" t="s">
        <v>131</v>
      </c>
      <c r="J55" t="str">
        <f>CONCATENATE("080201","")</f>
        <v>080201</v>
      </c>
      <c r="K55" t="s">
        <v>23</v>
      </c>
      <c r="L55" t="s">
        <v>24</v>
      </c>
      <c r="M55" t="str">
        <f t="shared" si="7"/>
        <v>1</v>
      </c>
      <c r="O55" t="str">
        <f t="shared" si="6"/>
        <v>1 </v>
      </c>
      <c r="P55">
        <v>23.05</v>
      </c>
      <c r="Q55" t="s">
        <v>25</v>
      </c>
    </row>
    <row r="56" spans="1:17" ht="12.75">
      <c r="A56" t="s">
        <v>17</v>
      </c>
      <c r="B56" t="s">
        <v>18</v>
      </c>
      <c r="C56" t="s">
        <v>19</v>
      </c>
      <c r="D56" t="str">
        <f>CONCATENATE("0130009344","")</f>
        <v>0130009344</v>
      </c>
      <c r="E56" t="str">
        <f>CONCATENATE("0020116001260       ","")</f>
        <v>0020116001260       </v>
      </c>
      <c r="F56" t="str">
        <f>CONCATENATE("07241735","")</f>
        <v>07241735</v>
      </c>
      <c r="G56" t="s">
        <v>132</v>
      </c>
      <c r="H56" t="s">
        <v>133</v>
      </c>
      <c r="I56" t="s">
        <v>134</v>
      </c>
      <c r="J56" t="str">
        <f>CONCATENATE("080201","")</f>
        <v>080201</v>
      </c>
      <c r="K56" t="s">
        <v>23</v>
      </c>
      <c r="L56" t="s">
        <v>24</v>
      </c>
      <c r="M56" t="str">
        <f t="shared" si="7"/>
        <v>1</v>
      </c>
      <c r="O56" t="str">
        <f t="shared" si="6"/>
        <v>1 </v>
      </c>
      <c r="P56">
        <v>18.85</v>
      </c>
      <c r="Q56" t="s">
        <v>25</v>
      </c>
    </row>
    <row r="57" spans="1:17" ht="12.75">
      <c r="A57" t="s">
        <v>17</v>
      </c>
      <c r="B57" t="s">
        <v>18</v>
      </c>
      <c r="C57" t="s">
        <v>19</v>
      </c>
      <c r="D57" t="str">
        <f>CONCATENATE("0130009801","")</f>
        <v>0130009801</v>
      </c>
      <c r="E57" t="str">
        <f>CONCATENATE("0020116001536       ","")</f>
        <v>0020116001536       </v>
      </c>
      <c r="F57" t="str">
        <f>CONCATENATE("01115909","")</f>
        <v>01115909</v>
      </c>
      <c r="G57" t="s">
        <v>132</v>
      </c>
      <c r="H57" t="s">
        <v>135</v>
      </c>
      <c r="I57" t="s">
        <v>119</v>
      </c>
      <c r="J57" t="str">
        <f>CONCATENATE("080201","")</f>
        <v>080201</v>
      </c>
      <c r="K57" t="s">
        <v>23</v>
      </c>
      <c r="L57" t="s">
        <v>24</v>
      </c>
      <c r="M57" t="str">
        <f t="shared" si="7"/>
        <v>1</v>
      </c>
      <c r="O57" t="str">
        <f t="shared" si="6"/>
        <v>1 </v>
      </c>
      <c r="P57">
        <v>12.4</v>
      </c>
      <c r="Q57" t="s">
        <v>25</v>
      </c>
    </row>
    <row r="58" spans="1:17" ht="12.75">
      <c r="A58" t="s">
        <v>17</v>
      </c>
      <c r="B58" t="s">
        <v>18</v>
      </c>
      <c r="C58" t="s">
        <v>19</v>
      </c>
      <c r="D58" t="str">
        <f>CONCATENATE("0130009322","")</f>
        <v>0130009322</v>
      </c>
      <c r="E58" t="str">
        <f>CONCATENATE("0020116001650       ","")</f>
        <v>0020116001650       </v>
      </c>
      <c r="F58" t="str">
        <f>CONCATENATE("06516527","")</f>
        <v>06516527</v>
      </c>
      <c r="G58" t="s">
        <v>132</v>
      </c>
      <c r="H58" t="s">
        <v>136</v>
      </c>
      <c r="I58" t="s">
        <v>126</v>
      </c>
      <c r="J58" t="str">
        <f>CONCATENATE("080201","")</f>
        <v>080201</v>
      </c>
      <c r="K58" t="s">
        <v>23</v>
      </c>
      <c r="L58" t="s">
        <v>24</v>
      </c>
      <c r="M58" t="str">
        <f t="shared" si="7"/>
        <v>1</v>
      </c>
      <c r="O58" t="str">
        <f t="shared" si="6"/>
        <v>1 </v>
      </c>
      <c r="P58">
        <v>15.25</v>
      </c>
      <c r="Q58" t="s">
        <v>25</v>
      </c>
    </row>
    <row r="59" spans="1:17" ht="12.75">
      <c r="A59" t="s">
        <v>17</v>
      </c>
      <c r="B59" t="s">
        <v>18</v>
      </c>
      <c r="C59" t="s">
        <v>137</v>
      </c>
      <c r="D59" t="str">
        <f>CONCATENATE("0130007348","")</f>
        <v>0130007348</v>
      </c>
      <c r="E59" t="str">
        <f>CONCATENATE("0020120000170       ","")</f>
        <v>0020120000170       </v>
      </c>
      <c r="F59" t="str">
        <f>CONCATENATE("605117590","")</f>
        <v>605117590</v>
      </c>
      <c r="G59" t="s">
        <v>138</v>
      </c>
      <c r="H59" t="s">
        <v>139</v>
      </c>
      <c r="I59" t="s">
        <v>140</v>
      </c>
      <c r="J59" t="str">
        <f aca="true" t="shared" si="8" ref="J59:J64">CONCATENATE("080207","")</f>
        <v>080207</v>
      </c>
      <c r="K59" t="s">
        <v>23</v>
      </c>
      <c r="L59" t="s">
        <v>24</v>
      </c>
      <c r="M59" t="str">
        <f t="shared" si="7"/>
        <v>1</v>
      </c>
      <c r="O59" t="str">
        <f t="shared" si="6"/>
        <v>1 </v>
      </c>
      <c r="P59">
        <v>27.75</v>
      </c>
      <c r="Q59" t="s">
        <v>25</v>
      </c>
    </row>
    <row r="60" spans="1:17" ht="12.75">
      <c r="A60" t="s">
        <v>17</v>
      </c>
      <c r="B60" t="s">
        <v>18</v>
      </c>
      <c r="C60" t="s">
        <v>137</v>
      </c>
      <c r="D60" t="str">
        <f>CONCATENATE("0130013774","")</f>
        <v>0130013774</v>
      </c>
      <c r="E60" t="str">
        <f>CONCATENATE("0020120000410       ","")</f>
        <v>0020120000410       </v>
      </c>
      <c r="F60" t="str">
        <f>CONCATENATE("606664266","")</f>
        <v>606664266</v>
      </c>
      <c r="G60" t="s">
        <v>138</v>
      </c>
      <c r="H60" t="s">
        <v>141</v>
      </c>
      <c r="I60" t="s">
        <v>142</v>
      </c>
      <c r="J60" t="str">
        <f t="shared" si="8"/>
        <v>080207</v>
      </c>
      <c r="K60" t="s">
        <v>23</v>
      </c>
      <c r="L60" t="s">
        <v>24</v>
      </c>
      <c r="M60" t="str">
        <f t="shared" si="7"/>
        <v>1</v>
      </c>
      <c r="O60" t="str">
        <f t="shared" si="6"/>
        <v>1 </v>
      </c>
      <c r="P60">
        <v>11.5</v>
      </c>
      <c r="Q60" t="s">
        <v>25</v>
      </c>
    </row>
    <row r="61" spans="1:17" ht="12.75">
      <c r="A61" t="s">
        <v>17</v>
      </c>
      <c r="B61" t="s">
        <v>18</v>
      </c>
      <c r="C61" t="s">
        <v>137</v>
      </c>
      <c r="D61" t="str">
        <f>CONCATENATE("0130000317","")</f>
        <v>0130000317</v>
      </c>
      <c r="E61" t="str">
        <f>CONCATENATE("0020120000420       ","")</f>
        <v>0020120000420       </v>
      </c>
      <c r="F61" t="str">
        <f>CONCATENATE("605399344","")</f>
        <v>605399344</v>
      </c>
      <c r="G61" t="s">
        <v>138</v>
      </c>
      <c r="H61" t="s">
        <v>143</v>
      </c>
      <c r="I61" t="s">
        <v>144</v>
      </c>
      <c r="J61" t="str">
        <f t="shared" si="8"/>
        <v>080207</v>
      </c>
      <c r="K61" t="s">
        <v>23</v>
      </c>
      <c r="L61" t="s">
        <v>24</v>
      </c>
      <c r="M61" t="str">
        <f t="shared" si="7"/>
        <v>1</v>
      </c>
      <c r="O61" t="str">
        <f t="shared" si="6"/>
        <v>1 </v>
      </c>
      <c r="P61">
        <v>26.4</v>
      </c>
      <c r="Q61" t="s">
        <v>25</v>
      </c>
    </row>
    <row r="62" spans="1:17" ht="12.75">
      <c r="A62" t="s">
        <v>17</v>
      </c>
      <c r="B62" t="s">
        <v>18</v>
      </c>
      <c r="C62" t="s">
        <v>137</v>
      </c>
      <c r="D62" t="str">
        <f>CONCATENATE("0130009950","")</f>
        <v>0130009950</v>
      </c>
      <c r="E62" t="str">
        <f>CONCATENATE("0020120000690       ","")</f>
        <v>0020120000690       </v>
      </c>
      <c r="F62" t="str">
        <f>CONCATENATE("605740628","")</f>
        <v>605740628</v>
      </c>
      <c r="G62" t="s">
        <v>138</v>
      </c>
      <c r="H62" t="s">
        <v>145</v>
      </c>
      <c r="I62" t="s">
        <v>146</v>
      </c>
      <c r="J62" t="str">
        <f t="shared" si="8"/>
        <v>080207</v>
      </c>
      <c r="K62" t="s">
        <v>23</v>
      </c>
      <c r="L62" t="s">
        <v>24</v>
      </c>
      <c r="M62" t="str">
        <f t="shared" si="7"/>
        <v>1</v>
      </c>
      <c r="O62" t="str">
        <f t="shared" si="6"/>
        <v>1 </v>
      </c>
      <c r="P62">
        <v>41.7</v>
      </c>
      <c r="Q62" t="s">
        <v>25</v>
      </c>
    </row>
    <row r="63" spans="1:17" ht="12.75">
      <c r="A63" t="s">
        <v>17</v>
      </c>
      <c r="B63" t="s">
        <v>18</v>
      </c>
      <c r="C63" t="s">
        <v>137</v>
      </c>
      <c r="D63" t="str">
        <f>CONCATENATE("0130000346","")</f>
        <v>0130000346</v>
      </c>
      <c r="E63" t="str">
        <f>CONCATENATE("0020120001230       ","")</f>
        <v>0020120001230       </v>
      </c>
      <c r="F63" t="str">
        <f>CONCATENATE("605390981","")</f>
        <v>605390981</v>
      </c>
      <c r="G63" t="s">
        <v>138</v>
      </c>
      <c r="H63" t="s">
        <v>147</v>
      </c>
      <c r="I63" t="s">
        <v>144</v>
      </c>
      <c r="J63" t="str">
        <f t="shared" si="8"/>
        <v>080207</v>
      </c>
      <c r="K63" t="s">
        <v>23</v>
      </c>
      <c r="L63" t="s">
        <v>24</v>
      </c>
      <c r="M63" t="str">
        <f t="shared" si="7"/>
        <v>1</v>
      </c>
      <c r="O63" t="str">
        <f t="shared" si="6"/>
        <v>1 </v>
      </c>
      <c r="P63">
        <v>116.5</v>
      </c>
      <c r="Q63" t="s">
        <v>25</v>
      </c>
    </row>
    <row r="64" spans="1:17" ht="12.75">
      <c r="A64" t="s">
        <v>17</v>
      </c>
      <c r="B64" t="s">
        <v>18</v>
      </c>
      <c r="C64" t="s">
        <v>137</v>
      </c>
      <c r="D64" t="str">
        <f>CONCATENATE("0130016782","")</f>
        <v>0130016782</v>
      </c>
      <c r="E64" t="str">
        <f>CONCATENATE("0020125000690       ","")</f>
        <v>0020125000690       </v>
      </c>
      <c r="F64" t="str">
        <f>CONCATENATE("605619471","")</f>
        <v>605619471</v>
      </c>
      <c r="G64" t="s">
        <v>148</v>
      </c>
      <c r="H64" t="s">
        <v>149</v>
      </c>
      <c r="I64" t="s">
        <v>150</v>
      </c>
      <c r="J64" t="str">
        <f t="shared" si="8"/>
        <v>080207</v>
      </c>
      <c r="K64" t="s">
        <v>23</v>
      </c>
      <c r="L64" t="s">
        <v>24</v>
      </c>
      <c r="M64" t="str">
        <f t="shared" si="7"/>
        <v>1</v>
      </c>
      <c r="O64" t="str">
        <f t="shared" si="6"/>
        <v>1 </v>
      </c>
      <c r="P64">
        <v>32.3</v>
      </c>
      <c r="Q64" t="s">
        <v>25</v>
      </c>
    </row>
    <row r="65" spans="1:17" ht="12.75">
      <c r="A65" t="s">
        <v>17</v>
      </c>
      <c r="B65" t="s">
        <v>18</v>
      </c>
      <c r="C65" t="s">
        <v>19</v>
      </c>
      <c r="D65" t="str">
        <f>CONCATENATE("0130017624","")</f>
        <v>0130017624</v>
      </c>
      <c r="E65" t="str">
        <f>CONCATENATE("0020135002050       ","")</f>
        <v>0020135002050       </v>
      </c>
      <c r="F65" t="str">
        <f>CONCATENATE("90500562","")</f>
        <v>90500562</v>
      </c>
      <c r="G65" t="s">
        <v>151</v>
      </c>
      <c r="H65" t="s">
        <v>152</v>
      </c>
      <c r="I65" t="s">
        <v>153</v>
      </c>
      <c r="J65" t="str">
        <f aca="true" t="shared" si="9" ref="J65:J70">CONCATENATE("080201","")</f>
        <v>080201</v>
      </c>
      <c r="K65" t="s">
        <v>23</v>
      </c>
      <c r="L65" t="s">
        <v>24</v>
      </c>
      <c r="M65" t="str">
        <f t="shared" si="7"/>
        <v>1</v>
      </c>
      <c r="O65" t="str">
        <f t="shared" si="6"/>
        <v>1 </v>
      </c>
      <c r="P65">
        <v>17</v>
      </c>
      <c r="Q65" t="s">
        <v>25</v>
      </c>
    </row>
    <row r="66" spans="1:17" ht="12.75">
      <c r="A66" t="s">
        <v>17</v>
      </c>
      <c r="B66" t="s">
        <v>18</v>
      </c>
      <c r="C66" t="s">
        <v>19</v>
      </c>
      <c r="D66" t="str">
        <f>CONCATENATE("0130017627","")</f>
        <v>0130017627</v>
      </c>
      <c r="E66" t="str">
        <f>CONCATENATE("0020135002130       ","")</f>
        <v>0020135002130       </v>
      </c>
      <c r="F66" t="str">
        <f>CONCATENATE("90500576","")</f>
        <v>90500576</v>
      </c>
      <c r="G66" t="s">
        <v>151</v>
      </c>
      <c r="H66" t="s">
        <v>154</v>
      </c>
      <c r="I66" t="s">
        <v>153</v>
      </c>
      <c r="J66" t="str">
        <f t="shared" si="9"/>
        <v>080201</v>
      </c>
      <c r="K66" t="s">
        <v>23</v>
      </c>
      <c r="L66" t="s">
        <v>24</v>
      </c>
      <c r="M66" t="str">
        <f t="shared" si="7"/>
        <v>1</v>
      </c>
      <c r="O66" t="str">
        <f t="shared" si="6"/>
        <v>1 </v>
      </c>
      <c r="P66">
        <v>26.3</v>
      </c>
      <c r="Q66" t="s">
        <v>25</v>
      </c>
    </row>
    <row r="67" spans="1:17" ht="12.75">
      <c r="A67" t="s">
        <v>17</v>
      </c>
      <c r="B67" t="s">
        <v>18</v>
      </c>
      <c r="C67" t="s">
        <v>19</v>
      </c>
      <c r="D67" t="str">
        <f>CONCATENATE("0130019545","")</f>
        <v>0130019545</v>
      </c>
      <c r="E67" t="str">
        <f>CONCATENATE("0020150002030       ","")</f>
        <v>0020150002030       </v>
      </c>
      <c r="F67" t="str">
        <f>CONCATENATE("90601719","")</f>
        <v>90601719</v>
      </c>
      <c r="G67" t="s">
        <v>155</v>
      </c>
      <c r="H67" t="s">
        <v>156</v>
      </c>
      <c r="I67" t="s">
        <v>157</v>
      </c>
      <c r="J67" t="str">
        <f t="shared" si="9"/>
        <v>080201</v>
      </c>
      <c r="K67" t="s">
        <v>23</v>
      </c>
      <c r="L67" t="s">
        <v>24</v>
      </c>
      <c r="M67" t="str">
        <f t="shared" si="7"/>
        <v>1</v>
      </c>
      <c r="O67" t="str">
        <f t="shared" si="6"/>
        <v>1 </v>
      </c>
      <c r="P67">
        <v>13.65</v>
      </c>
      <c r="Q67" t="s">
        <v>25</v>
      </c>
    </row>
    <row r="68" spans="1:17" ht="12.75">
      <c r="A68" t="s">
        <v>17</v>
      </c>
      <c r="B68" t="s">
        <v>18</v>
      </c>
      <c r="C68" t="s">
        <v>19</v>
      </c>
      <c r="D68" t="str">
        <f>CONCATENATE("0130019548","")</f>
        <v>0130019548</v>
      </c>
      <c r="E68" t="str">
        <f>CONCATENATE("0020150002120       ","")</f>
        <v>0020150002120       </v>
      </c>
      <c r="F68" t="str">
        <f>CONCATENATE("90601860","")</f>
        <v>90601860</v>
      </c>
      <c r="G68" t="s">
        <v>155</v>
      </c>
      <c r="H68" t="s">
        <v>158</v>
      </c>
      <c r="I68" t="s">
        <v>157</v>
      </c>
      <c r="J68" t="str">
        <f t="shared" si="9"/>
        <v>080201</v>
      </c>
      <c r="K68" t="s">
        <v>23</v>
      </c>
      <c r="L68" t="s">
        <v>24</v>
      </c>
      <c r="M68" t="str">
        <f t="shared" si="7"/>
        <v>1</v>
      </c>
      <c r="O68" t="str">
        <f t="shared" si="6"/>
        <v>1 </v>
      </c>
      <c r="P68">
        <v>15.35</v>
      </c>
      <c r="Q68" t="s">
        <v>25</v>
      </c>
    </row>
    <row r="69" spans="1:17" ht="12.75">
      <c r="A69" t="s">
        <v>17</v>
      </c>
      <c r="B69" t="s">
        <v>18</v>
      </c>
      <c r="C69" t="s">
        <v>19</v>
      </c>
      <c r="D69" t="str">
        <f>CONCATENATE("0130019167","")</f>
        <v>0130019167</v>
      </c>
      <c r="E69" t="str">
        <f>CONCATENATE("0020185002060       ","")</f>
        <v>0020185002060       </v>
      </c>
      <c r="F69" t="str">
        <f>CONCATENATE("90601637","")</f>
        <v>90601637</v>
      </c>
      <c r="G69" t="s">
        <v>159</v>
      </c>
      <c r="H69" t="s">
        <v>160</v>
      </c>
      <c r="I69" t="s">
        <v>161</v>
      </c>
      <c r="J69" t="str">
        <f t="shared" si="9"/>
        <v>080201</v>
      </c>
      <c r="K69" t="s">
        <v>23</v>
      </c>
      <c r="L69" t="s">
        <v>24</v>
      </c>
      <c r="M69" t="str">
        <f t="shared" si="7"/>
        <v>1</v>
      </c>
      <c r="O69" t="str">
        <f>CONCATENATE("2 ","")</f>
        <v>2 </v>
      </c>
      <c r="P69">
        <v>29.75</v>
      </c>
      <c r="Q69" t="s">
        <v>25</v>
      </c>
    </row>
    <row r="70" spans="1:17" ht="12.75">
      <c r="A70" t="s">
        <v>17</v>
      </c>
      <c r="B70" t="s">
        <v>18</v>
      </c>
      <c r="C70" t="s">
        <v>19</v>
      </c>
      <c r="D70" t="str">
        <f>CONCATENATE("0130019170","")</f>
        <v>0130019170</v>
      </c>
      <c r="E70" t="str">
        <f>CONCATENATE("0020195001080       ","")</f>
        <v>0020195001080       </v>
      </c>
      <c r="F70" t="str">
        <f>CONCATENATE("90601636","")</f>
        <v>90601636</v>
      </c>
      <c r="G70" t="s">
        <v>162</v>
      </c>
      <c r="H70" t="s">
        <v>163</v>
      </c>
      <c r="I70" t="s">
        <v>164</v>
      </c>
      <c r="J70" t="str">
        <f t="shared" si="9"/>
        <v>080201</v>
      </c>
      <c r="K70" t="s">
        <v>23</v>
      </c>
      <c r="L70" t="s">
        <v>24</v>
      </c>
      <c r="M70" t="str">
        <f t="shared" si="7"/>
        <v>1</v>
      </c>
      <c r="O70" t="str">
        <f aca="true" t="shared" si="10" ref="O70:O75">CONCATENATE("1 ","")</f>
        <v>1 </v>
      </c>
      <c r="P70">
        <v>12.4</v>
      </c>
      <c r="Q70" t="s">
        <v>25</v>
      </c>
    </row>
    <row r="71" spans="1:17" ht="12.75">
      <c r="A71" t="s">
        <v>17</v>
      </c>
      <c r="B71" t="s">
        <v>18</v>
      </c>
      <c r="C71" t="s">
        <v>165</v>
      </c>
      <c r="D71" t="str">
        <f>CONCATENATE("0130008481","")</f>
        <v>0130008481</v>
      </c>
      <c r="E71" t="str">
        <f>CONCATENATE("0020201001294       ","")</f>
        <v>0020201001294       </v>
      </c>
      <c r="F71" t="str">
        <f>CONCATENATE("605119287","")</f>
        <v>605119287</v>
      </c>
      <c r="G71" t="s">
        <v>166</v>
      </c>
      <c r="H71" t="s">
        <v>167</v>
      </c>
      <c r="I71" t="s">
        <v>168</v>
      </c>
      <c r="J71" t="str">
        <f aca="true" t="shared" si="11" ref="J71:J80">CONCATENATE("080202","")</f>
        <v>080202</v>
      </c>
      <c r="K71" t="s">
        <v>23</v>
      </c>
      <c r="L71" t="s">
        <v>24</v>
      </c>
      <c r="M71" t="str">
        <f t="shared" si="7"/>
        <v>1</v>
      </c>
      <c r="O71" t="str">
        <f t="shared" si="10"/>
        <v>1 </v>
      </c>
      <c r="P71">
        <v>11.55</v>
      </c>
      <c r="Q71" t="s">
        <v>25</v>
      </c>
    </row>
    <row r="72" spans="1:17" ht="12.75">
      <c r="A72" t="s">
        <v>17</v>
      </c>
      <c r="B72" t="s">
        <v>18</v>
      </c>
      <c r="C72" t="s">
        <v>165</v>
      </c>
      <c r="D72" t="str">
        <f>CONCATENATE("0130000458","")</f>
        <v>0130000458</v>
      </c>
      <c r="E72" t="str">
        <f>CONCATENATE("0020201001630       ","")</f>
        <v>0020201001630       </v>
      </c>
      <c r="F72" t="str">
        <f>CONCATENATE("6950527","")</f>
        <v>6950527</v>
      </c>
      <c r="G72" t="s">
        <v>166</v>
      </c>
      <c r="H72" t="s">
        <v>169</v>
      </c>
      <c r="I72" t="s">
        <v>170</v>
      </c>
      <c r="J72" t="str">
        <f t="shared" si="11"/>
        <v>080202</v>
      </c>
      <c r="K72" t="s">
        <v>23</v>
      </c>
      <c r="L72" t="s">
        <v>24</v>
      </c>
      <c r="M72" t="str">
        <f t="shared" si="7"/>
        <v>1</v>
      </c>
      <c r="O72" t="str">
        <f t="shared" si="10"/>
        <v>1 </v>
      </c>
      <c r="P72">
        <v>13.65</v>
      </c>
      <c r="Q72" t="s">
        <v>25</v>
      </c>
    </row>
    <row r="73" spans="1:17" ht="12.75">
      <c r="A73" t="s">
        <v>17</v>
      </c>
      <c r="B73" t="s">
        <v>18</v>
      </c>
      <c r="C73" t="s">
        <v>165</v>
      </c>
      <c r="D73" t="str">
        <f>CONCATENATE("0130016875","")</f>
        <v>0130016875</v>
      </c>
      <c r="E73" t="str">
        <f>CONCATENATE("0020201002135       ","")</f>
        <v>0020201002135       </v>
      </c>
      <c r="F73" t="str">
        <f>CONCATENATE("112218","")</f>
        <v>112218</v>
      </c>
      <c r="G73" t="s">
        <v>166</v>
      </c>
      <c r="H73" t="s">
        <v>171</v>
      </c>
      <c r="I73" t="s">
        <v>172</v>
      </c>
      <c r="J73" t="str">
        <f t="shared" si="11"/>
        <v>080202</v>
      </c>
      <c r="K73" t="s">
        <v>23</v>
      </c>
      <c r="L73" t="s">
        <v>24</v>
      </c>
      <c r="M73" t="str">
        <f>CONCATENATE("3","")</f>
        <v>3</v>
      </c>
      <c r="O73" t="str">
        <f t="shared" si="10"/>
        <v>1 </v>
      </c>
      <c r="P73">
        <v>105.8</v>
      </c>
      <c r="Q73" t="s">
        <v>124</v>
      </c>
    </row>
    <row r="74" spans="1:17" ht="12.75">
      <c r="A74" t="s">
        <v>17</v>
      </c>
      <c r="B74" t="s">
        <v>18</v>
      </c>
      <c r="C74" t="s">
        <v>165</v>
      </c>
      <c r="D74" t="str">
        <f>CONCATENATE("0130000479","")</f>
        <v>0130000479</v>
      </c>
      <c r="E74" t="str">
        <f>CONCATENATE("0020201002310       ","")</f>
        <v>0020201002310       </v>
      </c>
      <c r="F74" t="str">
        <f>CONCATENATE("605563657","")</f>
        <v>605563657</v>
      </c>
      <c r="G74" t="s">
        <v>166</v>
      </c>
      <c r="H74" t="s">
        <v>173</v>
      </c>
      <c r="I74" t="s">
        <v>174</v>
      </c>
      <c r="J74" t="str">
        <f t="shared" si="11"/>
        <v>080202</v>
      </c>
      <c r="K74" t="s">
        <v>23</v>
      </c>
      <c r="L74" t="s">
        <v>24</v>
      </c>
      <c r="M74" t="str">
        <f aca="true" t="shared" si="12" ref="M74:M94">CONCATENATE("1","")</f>
        <v>1</v>
      </c>
      <c r="O74" t="str">
        <f t="shared" si="10"/>
        <v>1 </v>
      </c>
      <c r="P74">
        <v>11.5</v>
      </c>
      <c r="Q74" t="s">
        <v>25</v>
      </c>
    </row>
    <row r="75" spans="1:17" ht="12.75">
      <c r="A75" t="s">
        <v>17</v>
      </c>
      <c r="B75" t="s">
        <v>18</v>
      </c>
      <c r="C75" t="s">
        <v>165</v>
      </c>
      <c r="D75" t="str">
        <f>CONCATENATE("0130011741","")</f>
        <v>0130011741</v>
      </c>
      <c r="E75" t="str">
        <f>CONCATENATE("0020201003140       ","")</f>
        <v>0020201003140       </v>
      </c>
      <c r="F75" t="str">
        <f>CONCATENATE("605741842","")</f>
        <v>605741842</v>
      </c>
      <c r="G75" t="s">
        <v>166</v>
      </c>
      <c r="H75" t="s">
        <v>175</v>
      </c>
      <c r="I75" t="s">
        <v>176</v>
      </c>
      <c r="J75" t="str">
        <f t="shared" si="11"/>
        <v>080202</v>
      </c>
      <c r="K75" t="s">
        <v>23</v>
      </c>
      <c r="L75" t="s">
        <v>24</v>
      </c>
      <c r="M75" t="str">
        <f t="shared" si="12"/>
        <v>1</v>
      </c>
      <c r="O75" t="str">
        <f t="shared" si="10"/>
        <v>1 </v>
      </c>
      <c r="P75">
        <v>51</v>
      </c>
      <c r="Q75" t="s">
        <v>25</v>
      </c>
    </row>
    <row r="76" spans="1:17" ht="12.75">
      <c r="A76" t="s">
        <v>17</v>
      </c>
      <c r="B76" t="s">
        <v>18</v>
      </c>
      <c r="C76" t="s">
        <v>165</v>
      </c>
      <c r="D76" t="str">
        <f>CONCATENATE("0130000554","")</f>
        <v>0130000554</v>
      </c>
      <c r="E76" t="str">
        <f>CONCATENATE("0020202001230       ","")</f>
        <v>0020202001230       </v>
      </c>
      <c r="F76" t="str">
        <f>CONCATENATE("605563648","")</f>
        <v>605563648</v>
      </c>
      <c r="G76" t="s">
        <v>166</v>
      </c>
      <c r="H76" t="s">
        <v>177</v>
      </c>
      <c r="I76" t="s">
        <v>178</v>
      </c>
      <c r="J76" t="str">
        <f t="shared" si="11"/>
        <v>080202</v>
      </c>
      <c r="K76" t="s">
        <v>23</v>
      </c>
      <c r="L76" t="s">
        <v>24</v>
      </c>
      <c r="M76" t="str">
        <f t="shared" si="12"/>
        <v>1</v>
      </c>
      <c r="O76" t="str">
        <f>CONCATENATE("5 ","")</f>
        <v>5 </v>
      </c>
      <c r="P76">
        <v>35</v>
      </c>
      <c r="Q76" t="s">
        <v>25</v>
      </c>
    </row>
    <row r="77" spans="1:17" ht="12.75">
      <c r="A77" t="s">
        <v>17</v>
      </c>
      <c r="B77" t="s">
        <v>18</v>
      </c>
      <c r="C77" t="s">
        <v>165</v>
      </c>
      <c r="D77" t="str">
        <f>CONCATENATE("0130000637","")</f>
        <v>0130000637</v>
      </c>
      <c r="E77" t="str">
        <f>CONCATENATE("0020210000800       ","")</f>
        <v>0020210000800       </v>
      </c>
      <c r="F77" t="str">
        <f>CONCATENATE("605120589","")</f>
        <v>605120589</v>
      </c>
      <c r="G77" t="s">
        <v>179</v>
      </c>
      <c r="H77" t="s">
        <v>180</v>
      </c>
      <c r="I77" t="s">
        <v>181</v>
      </c>
      <c r="J77" t="str">
        <f t="shared" si="11"/>
        <v>080202</v>
      </c>
      <c r="K77" t="s">
        <v>23</v>
      </c>
      <c r="L77" t="s">
        <v>24</v>
      </c>
      <c r="M77" t="str">
        <f t="shared" si="12"/>
        <v>1</v>
      </c>
      <c r="O77" t="str">
        <f aca="true" t="shared" si="13" ref="O77:O103">CONCATENATE("1 ","")</f>
        <v>1 </v>
      </c>
      <c r="P77">
        <v>17.55</v>
      </c>
      <c r="Q77" t="s">
        <v>25</v>
      </c>
    </row>
    <row r="78" spans="1:17" ht="12.75">
      <c r="A78" t="s">
        <v>17</v>
      </c>
      <c r="B78" t="s">
        <v>18</v>
      </c>
      <c r="C78" t="s">
        <v>165</v>
      </c>
      <c r="D78" t="str">
        <f>CONCATENATE("0130010638","")</f>
        <v>0130010638</v>
      </c>
      <c r="E78" t="str">
        <f>CONCATENATE("0020210002110       ","")</f>
        <v>0020210002110       </v>
      </c>
      <c r="F78" t="str">
        <f>CONCATENATE("605393464","")</f>
        <v>605393464</v>
      </c>
      <c r="G78" t="s">
        <v>179</v>
      </c>
      <c r="H78" t="s">
        <v>182</v>
      </c>
      <c r="I78" t="s">
        <v>183</v>
      </c>
      <c r="J78" t="str">
        <f t="shared" si="11"/>
        <v>080202</v>
      </c>
      <c r="K78" t="s">
        <v>23</v>
      </c>
      <c r="L78" t="s">
        <v>24</v>
      </c>
      <c r="M78" t="str">
        <f t="shared" si="12"/>
        <v>1</v>
      </c>
      <c r="O78" t="str">
        <f t="shared" si="13"/>
        <v>1 </v>
      </c>
      <c r="P78">
        <v>11.75</v>
      </c>
      <c r="Q78" t="s">
        <v>25</v>
      </c>
    </row>
    <row r="79" spans="1:17" ht="12.75">
      <c r="A79" t="s">
        <v>17</v>
      </c>
      <c r="B79" t="s">
        <v>18</v>
      </c>
      <c r="C79" t="s">
        <v>165</v>
      </c>
      <c r="D79" t="str">
        <f>CONCATENATE("0040038659","")</f>
        <v>0040038659</v>
      </c>
      <c r="E79" t="str">
        <f>CONCATENATE("0020211001247       ","")</f>
        <v>0020211001247       </v>
      </c>
      <c r="F79" t="str">
        <f>CONCATENATE("606745553","")</f>
        <v>606745553</v>
      </c>
      <c r="G79" t="s">
        <v>179</v>
      </c>
      <c r="H79" t="s">
        <v>184</v>
      </c>
      <c r="I79" t="s">
        <v>185</v>
      </c>
      <c r="J79" t="str">
        <f t="shared" si="11"/>
        <v>080202</v>
      </c>
      <c r="K79" t="s">
        <v>23</v>
      </c>
      <c r="L79" t="s">
        <v>24</v>
      </c>
      <c r="M79" t="str">
        <f t="shared" si="12"/>
        <v>1</v>
      </c>
      <c r="O79" t="str">
        <f t="shared" si="13"/>
        <v>1 </v>
      </c>
      <c r="P79">
        <v>35.15</v>
      </c>
      <c r="Q79" t="s">
        <v>25</v>
      </c>
    </row>
    <row r="80" spans="1:17" ht="12.75">
      <c r="A80" t="s">
        <v>17</v>
      </c>
      <c r="B80" t="s">
        <v>18</v>
      </c>
      <c r="C80" t="s">
        <v>165</v>
      </c>
      <c r="D80" t="str">
        <f>CONCATENATE("0130021081","")</f>
        <v>0130021081</v>
      </c>
      <c r="E80" t="str">
        <f>CONCATENATE("0020211001290       ","")</f>
        <v>0020211001290       </v>
      </c>
      <c r="F80" t="str">
        <f>CONCATENATE("1860250","")</f>
        <v>1860250</v>
      </c>
      <c r="G80" t="s">
        <v>179</v>
      </c>
      <c r="H80" t="s">
        <v>186</v>
      </c>
      <c r="I80" t="s">
        <v>187</v>
      </c>
      <c r="J80" t="str">
        <f t="shared" si="11"/>
        <v>080202</v>
      </c>
      <c r="K80" t="s">
        <v>23</v>
      </c>
      <c r="L80" t="s">
        <v>24</v>
      </c>
      <c r="M80" t="str">
        <f t="shared" si="12"/>
        <v>1</v>
      </c>
      <c r="O80" t="str">
        <f t="shared" si="13"/>
        <v>1 </v>
      </c>
      <c r="P80">
        <v>38.5</v>
      </c>
      <c r="Q80" t="s">
        <v>25</v>
      </c>
    </row>
    <row r="81" spans="1:17" ht="12.75">
      <c r="A81" t="s">
        <v>17</v>
      </c>
      <c r="B81" t="s">
        <v>18</v>
      </c>
      <c r="C81" t="s">
        <v>188</v>
      </c>
      <c r="D81" t="str">
        <f>CONCATENATE("0130000688","")</f>
        <v>0130000688</v>
      </c>
      <c r="E81" t="str">
        <f>CONCATENATE("0020230000210       ","")</f>
        <v>0020230000210       </v>
      </c>
      <c r="F81" t="str">
        <f>CONCATENATE("0605770843","")</f>
        <v>0605770843</v>
      </c>
      <c r="G81" t="s">
        <v>189</v>
      </c>
      <c r="H81" t="s">
        <v>190</v>
      </c>
      <c r="I81" t="s">
        <v>191</v>
      </c>
      <c r="J81" t="str">
        <f>CONCATENATE("080204","")</f>
        <v>080204</v>
      </c>
      <c r="K81" t="s">
        <v>23</v>
      </c>
      <c r="L81" t="s">
        <v>24</v>
      </c>
      <c r="M81" t="str">
        <f t="shared" si="12"/>
        <v>1</v>
      </c>
      <c r="O81" t="str">
        <f t="shared" si="13"/>
        <v>1 </v>
      </c>
      <c r="P81">
        <v>18.4</v>
      </c>
      <c r="Q81" t="s">
        <v>25</v>
      </c>
    </row>
    <row r="82" spans="1:17" ht="12.75">
      <c r="A82" t="s">
        <v>17</v>
      </c>
      <c r="B82" t="s">
        <v>18</v>
      </c>
      <c r="C82" t="s">
        <v>89</v>
      </c>
      <c r="D82" t="str">
        <f>CONCATENATE("0130000767","")</f>
        <v>0130000767</v>
      </c>
      <c r="E82" t="str">
        <f>CONCATENATE("0020301000160       ","")</f>
        <v>0020301000160       </v>
      </c>
      <c r="F82" t="str">
        <f>CONCATENATE("605392020","")</f>
        <v>605392020</v>
      </c>
      <c r="G82" t="s">
        <v>192</v>
      </c>
      <c r="H82" t="s">
        <v>193</v>
      </c>
      <c r="I82" t="s">
        <v>194</v>
      </c>
      <c r="J82" t="str">
        <f aca="true" t="shared" si="14" ref="J82:J102">CONCATENATE("080203","")</f>
        <v>080203</v>
      </c>
      <c r="K82" t="s">
        <v>23</v>
      </c>
      <c r="L82" t="s">
        <v>24</v>
      </c>
      <c r="M82" t="str">
        <f t="shared" si="12"/>
        <v>1</v>
      </c>
      <c r="O82" t="str">
        <f t="shared" si="13"/>
        <v>1 </v>
      </c>
      <c r="P82">
        <v>12.65</v>
      </c>
      <c r="Q82" t="s">
        <v>25</v>
      </c>
    </row>
    <row r="83" spans="1:17" ht="12.75">
      <c r="A83" t="s">
        <v>17</v>
      </c>
      <c r="B83" t="s">
        <v>18</v>
      </c>
      <c r="C83" t="s">
        <v>89</v>
      </c>
      <c r="D83" t="str">
        <f>CONCATENATE("0130008385","")</f>
        <v>0130008385</v>
      </c>
      <c r="E83" t="str">
        <f>CONCATENATE("0020301000525       ","")</f>
        <v>0020301000525       </v>
      </c>
      <c r="F83" t="str">
        <f>CONCATENATE("605749381","")</f>
        <v>605749381</v>
      </c>
      <c r="G83" t="s">
        <v>192</v>
      </c>
      <c r="H83" t="s">
        <v>195</v>
      </c>
      <c r="I83" t="s">
        <v>196</v>
      </c>
      <c r="J83" t="str">
        <f t="shared" si="14"/>
        <v>080203</v>
      </c>
      <c r="K83" t="s">
        <v>23</v>
      </c>
      <c r="L83" t="s">
        <v>24</v>
      </c>
      <c r="M83" t="str">
        <f t="shared" si="12"/>
        <v>1</v>
      </c>
      <c r="O83" t="str">
        <f t="shared" si="13"/>
        <v>1 </v>
      </c>
      <c r="P83">
        <v>32.8</v>
      </c>
      <c r="Q83" t="s">
        <v>25</v>
      </c>
    </row>
    <row r="84" spans="1:17" ht="12.75">
      <c r="A84" t="s">
        <v>17</v>
      </c>
      <c r="B84" t="s">
        <v>18</v>
      </c>
      <c r="C84" t="s">
        <v>89</v>
      </c>
      <c r="D84" t="str">
        <f>CONCATENATE("0130000806","")</f>
        <v>0130000806</v>
      </c>
      <c r="E84" t="str">
        <f>CONCATENATE("0020301001010       ","")</f>
        <v>0020301001010       </v>
      </c>
      <c r="F84" t="str">
        <f>CONCATENATE("605393738","")</f>
        <v>605393738</v>
      </c>
      <c r="G84" t="s">
        <v>192</v>
      </c>
      <c r="H84" t="s">
        <v>197</v>
      </c>
      <c r="I84" t="s">
        <v>198</v>
      </c>
      <c r="J84" t="str">
        <f t="shared" si="14"/>
        <v>080203</v>
      </c>
      <c r="K84" t="s">
        <v>23</v>
      </c>
      <c r="L84" t="s">
        <v>24</v>
      </c>
      <c r="M84" t="str">
        <f t="shared" si="12"/>
        <v>1</v>
      </c>
      <c r="O84" t="str">
        <f t="shared" si="13"/>
        <v>1 </v>
      </c>
      <c r="P84">
        <v>15.05</v>
      </c>
      <c r="Q84" t="s">
        <v>25</v>
      </c>
    </row>
    <row r="85" spans="1:17" ht="12.75">
      <c r="A85" t="s">
        <v>17</v>
      </c>
      <c r="B85" t="s">
        <v>18</v>
      </c>
      <c r="C85" t="s">
        <v>89</v>
      </c>
      <c r="D85" t="str">
        <f>CONCATENATE("0130000810","")</f>
        <v>0130000810</v>
      </c>
      <c r="E85" t="str">
        <f>CONCATENATE("0020301001120       ","")</f>
        <v>0020301001120       </v>
      </c>
      <c r="F85" t="str">
        <f>CONCATENATE("605350548","")</f>
        <v>605350548</v>
      </c>
      <c r="G85" t="s">
        <v>192</v>
      </c>
      <c r="H85" t="s">
        <v>199</v>
      </c>
      <c r="I85" t="s">
        <v>200</v>
      </c>
      <c r="J85" t="str">
        <f t="shared" si="14"/>
        <v>080203</v>
      </c>
      <c r="K85" t="s">
        <v>23</v>
      </c>
      <c r="L85" t="s">
        <v>24</v>
      </c>
      <c r="M85" t="str">
        <f t="shared" si="12"/>
        <v>1</v>
      </c>
      <c r="O85" t="str">
        <f t="shared" si="13"/>
        <v>1 </v>
      </c>
      <c r="P85">
        <v>123.45</v>
      </c>
      <c r="Q85" t="s">
        <v>25</v>
      </c>
    </row>
    <row r="86" spans="1:17" ht="12.75">
      <c r="A86" t="s">
        <v>17</v>
      </c>
      <c r="B86" t="s">
        <v>18</v>
      </c>
      <c r="C86" t="s">
        <v>89</v>
      </c>
      <c r="D86" t="str">
        <f>CONCATENATE("0130000814","")</f>
        <v>0130000814</v>
      </c>
      <c r="E86" t="str">
        <f>CONCATENATE("0020301001330       ","")</f>
        <v>0020301001330       </v>
      </c>
      <c r="F86" t="str">
        <f>CONCATENATE("605119912","")</f>
        <v>605119912</v>
      </c>
      <c r="G86" t="s">
        <v>192</v>
      </c>
      <c r="H86" t="s">
        <v>201</v>
      </c>
      <c r="I86" t="s">
        <v>202</v>
      </c>
      <c r="J86" t="str">
        <f t="shared" si="14"/>
        <v>080203</v>
      </c>
      <c r="K86" t="s">
        <v>23</v>
      </c>
      <c r="L86" t="s">
        <v>24</v>
      </c>
      <c r="M86" t="str">
        <f t="shared" si="12"/>
        <v>1</v>
      </c>
      <c r="O86" t="str">
        <f t="shared" si="13"/>
        <v>1 </v>
      </c>
      <c r="P86">
        <v>29.1</v>
      </c>
      <c r="Q86" t="s">
        <v>25</v>
      </c>
    </row>
    <row r="87" spans="1:17" ht="12.75">
      <c r="A87" t="s">
        <v>17</v>
      </c>
      <c r="B87" t="s">
        <v>18</v>
      </c>
      <c r="C87" t="s">
        <v>89</v>
      </c>
      <c r="D87" t="str">
        <f>CONCATENATE("0130000818","")</f>
        <v>0130000818</v>
      </c>
      <c r="E87" t="str">
        <f>CONCATENATE("0020301001400       ","")</f>
        <v>0020301001400       </v>
      </c>
      <c r="F87" t="str">
        <f>CONCATENATE("605392027","")</f>
        <v>605392027</v>
      </c>
      <c r="G87" t="s">
        <v>192</v>
      </c>
      <c r="H87" t="s">
        <v>203</v>
      </c>
      <c r="I87" t="s">
        <v>202</v>
      </c>
      <c r="J87" t="str">
        <f t="shared" si="14"/>
        <v>080203</v>
      </c>
      <c r="K87" t="s">
        <v>23</v>
      </c>
      <c r="L87" t="s">
        <v>24</v>
      </c>
      <c r="M87" t="str">
        <f t="shared" si="12"/>
        <v>1</v>
      </c>
      <c r="O87" t="str">
        <f t="shared" si="13"/>
        <v>1 </v>
      </c>
      <c r="P87">
        <v>22.7</v>
      </c>
      <c r="Q87" t="s">
        <v>25</v>
      </c>
    </row>
    <row r="88" spans="1:17" ht="12.75">
      <c r="A88" t="s">
        <v>17</v>
      </c>
      <c r="B88" t="s">
        <v>18</v>
      </c>
      <c r="C88" t="s">
        <v>89</v>
      </c>
      <c r="D88" t="str">
        <f>CONCATENATE("0130016264","")</f>
        <v>0130016264</v>
      </c>
      <c r="E88" t="str">
        <f>CONCATENATE("0020301001968       ","")</f>
        <v>0020301001968       </v>
      </c>
      <c r="F88" t="str">
        <f>CONCATENATE("605395550","")</f>
        <v>605395550</v>
      </c>
      <c r="G88" t="s">
        <v>192</v>
      </c>
      <c r="H88" t="s">
        <v>204</v>
      </c>
      <c r="I88" t="s">
        <v>205</v>
      </c>
      <c r="J88" t="str">
        <f t="shared" si="14"/>
        <v>080203</v>
      </c>
      <c r="K88" t="s">
        <v>23</v>
      </c>
      <c r="L88" t="s">
        <v>24</v>
      </c>
      <c r="M88" t="str">
        <f t="shared" si="12"/>
        <v>1</v>
      </c>
      <c r="O88" t="str">
        <f t="shared" si="13"/>
        <v>1 </v>
      </c>
      <c r="P88">
        <v>18.35</v>
      </c>
      <c r="Q88" t="s">
        <v>25</v>
      </c>
    </row>
    <row r="89" spans="1:17" ht="12.75">
      <c r="A89" t="s">
        <v>17</v>
      </c>
      <c r="B89" t="s">
        <v>18</v>
      </c>
      <c r="C89" t="s">
        <v>89</v>
      </c>
      <c r="D89" t="str">
        <f>CONCATENATE("0130014948","")</f>
        <v>0130014948</v>
      </c>
      <c r="E89" t="str">
        <f>CONCATENATE("0020302000040       ","")</f>
        <v>0020302000040       </v>
      </c>
      <c r="F89" t="str">
        <f>CONCATENATE("606675872","")</f>
        <v>606675872</v>
      </c>
      <c r="G89" t="s">
        <v>192</v>
      </c>
      <c r="H89" t="s">
        <v>206</v>
      </c>
      <c r="I89" t="s">
        <v>207</v>
      </c>
      <c r="J89" t="str">
        <f t="shared" si="14"/>
        <v>080203</v>
      </c>
      <c r="K89" t="s">
        <v>23</v>
      </c>
      <c r="L89" t="s">
        <v>24</v>
      </c>
      <c r="M89" t="str">
        <f t="shared" si="12"/>
        <v>1</v>
      </c>
      <c r="O89" t="str">
        <f t="shared" si="13"/>
        <v>1 </v>
      </c>
      <c r="P89">
        <v>39.55</v>
      </c>
      <c r="Q89" t="s">
        <v>25</v>
      </c>
    </row>
    <row r="90" spans="1:17" ht="12.75">
      <c r="A90" t="s">
        <v>17</v>
      </c>
      <c r="B90" t="s">
        <v>18</v>
      </c>
      <c r="C90" t="s">
        <v>89</v>
      </c>
      <c r="D90" t="str">
        <f>CONCATENATE("0130000851","")</f>
        <v>0130000851</v>
      </c>
      <c r="E90" t="str">
        <f>CONCATENATE("0020302000210       ","")</f>
        <v>0020302000210       </v>
      </c>
      <c r="F90" t="str">
        <f>CONCATENATE("605393723","")</f>
        <v>605393723</v>
      </c>
      <c r="G90" t="s">
        <v>192</v>
      </c>
      <c r="H90" t="s">
        <v>208</v>
      </c>
      <c r="I90" t="s">
        <v>209</v>
      </c>
      <c r="J90" t="str">
        <f t="shared" si="14"/>
        <v>080203</v>
      </c>
      <c r="K90" t="s">
        <v>23</v>
      </c>
      <c r="L90" t="s">
        <v>24</v>
      </c>
      <c r="M90" t="str">
        <f t="shared" si="12"/>
        <v>1</v>
      </c>
      <c r="O90" t="str">
        <f t="shared" si="13"/>
        <v>1 </v>
      </c>
      <c r="P90">
        <v>14.7</v>
      </c>
      <c r="Q90" t="s">
        <v>25</v>
      </c>
    </row>
    <row r="91" spans="1:17" ht="12.75">
      <c r="A91" t="s">
        <v>17</v>
      </c>
      <c r="B91" t="s">
        <v>18</v>
      </c>
      <c r="C91" t="s">
        <v>89</v>
      </c>
      <c r="D91" t="str">
        <f>CONCATENATE("0040040791","")</f>
        <v>0040040791</v>
      </c>
      <c r="E91" t="str">
        <f>CONCATENATE("0020302000235       ","")</f>
        <v>0020302000235       </v>
      </c>
      <c r="F91" t="str">
        <f>CONCATENATE("606855446","")</f>
        <v>606855446</v>
      </c>
      <c r="G91" t="s">
        <v>192</v>
      </c>
      <c r="H91" t="s">
        <v>210</v>
      </c>
      <c r="I91" t="s">
        <v>211</v>
      </c>
      <c r="J91" t="str">
        <f t="shared" si="14"/>
        <v>080203</v>
      </c>
      <c r="K91" t="s">
        <v>23</v>
      </c>
      <c r="L91" t="s">
        <v>24</v>
      </c>
      <c r="M91" t="str">
        <f t="shared" si="12"/>
        <v>1</v>
      </c>
      <c r="O91" t="str">
        <f t="shared" si="13"/>
        <v>1 </v>
      </c>
      <c r="P91">
        <v>34.05</v>
      </c>
      <c r="Q91" t="s">
        <v>25</v>
      </c>
    </row>
    <row r="92" spans="1:17" ht="12.75">
      <c r="A92" t="s">
        <v>17</v>
      </c>
      <c r="B92" t="s">
        <v>18</v>
      </c>
      <c r="C92" t="s">
        <v>89</v>
      </c>
      <c r="D92" t="str">
        <f>CONCATENATE("0130000854","")</f>
        <v>0130000854</v>
      </c>
      <c r="E92" t="str">
        <f>CONCATENATE("0020302000260       ","")</f>
        <v>0020302000260       </v>
      </c>
      <c r="F92" t="str">
        <f>CONCATENATE("605082564","")</f>
        <v>605082564</v>
      </c>
      <c r="G92" t="s">
        <v>192</v>
      </c>
      <c r="H92" t="s">
        <v>212</v>
      </c>
      <c r="I92" t="s">
        <v>213</v>
      </c>
      <c r="J92" t="str">
        <f t="shared" si="14"/>
        <v>080203</v>
      </c>
      <c r="K92" t="s">
        <v>23</v>
      </c>
      <c r="L92" t="s">
        <v>24</v>
      </c>
      <c r="M92" t="str">
        <f t="shared" si="12"/>
        <v>1</v>
      </c>
      <c r="O92" t="str">
        <f t="shared" si="13"/>
        <v>1 </v>
      </c>
      <c r="P92">
        <v>15.95</v>
      </c>
      <c r="Q92" t="s">
        <v>25</v>
      </c>
    </row>
    <row r="93" spans="1:17" ht="12.75">
      <c r="A93" t="s">
        <v>17</v>
      </c>
      <c r="B93" t="s">
        <v>18</v>
      </c>
      <c r="C93" t="s">
        <v>89</v>
      </c>
      <c r="D93" t="str">
        <f>CONCATENATE("0130000871","")</f>
        <v>0130000871</v>
      </c>
      <c r="E93" t="str">
        <f>CONCATENATE("0020302000670       ","")</f>
        <v>0020302000670       </v>
      </c>
      <c r="F93" t="str">
        <f>CONCATENATE("605119934","")</f>
        <v>605119934</v>
      </c>
      <c r="G93" t="s">
        <v>192</v>
      </c>
      <c r="H93" t="s">
        <v>214</v>
      </c>
      <c r="I93" t="s">
        <v>215</v>
      </c>
      <c r="J93" t="str">
        <f t="shared" si="14"/>
        <v>080203</v>
      </c>
      <c r="K93" t="s">
        <v>23</v>
      </c>
      <c r="L93" t="s">
        <v>24</v>
      </c>
      <c r="M93" t="str">
        <f t="shared" si="12"/>
        <v>1</v>
      </c>
      <c r="O93" t="str">
        <f t="shared" si="13"/>
        <v>1 </v>
      </c>
      <c r="P93">
        <v>19.9</v>
      </c>
      <c r="Q93" t="s">
        <v>25</v>
      </c>
    </row>
    <row r="94" spans="1:17" ht="12.75">
      <c r="A94" t="s">
        <v>17</v>
      </c>
      <c r="B94" t="s">
        <v>18</v>
      </c>
      <c r="C94" t="s">
        <v>89</v>
      </c>
      <c r="D94" t="str">
        <f>CONCATENATE("0130000879","")</f>
        <v>0130000879</v>
      </c>
      <c r="E94" t="str">
        <f>CONCATENATE("0020302000770       ","")</f>
        <v>0020302000770       </v>
      </c>
      <c r="F94" t="str">
        <f>CONCATENATE("605349398","")</f>
        <v>605349398</v>
      </c>
      <c r="G94" t="s">
        <v>192</v>
      </c>
      <c r="H94" t="s">
        <v>216</v>
      </c>
      <c r="I94" t="s">
        <v>217</v>
      </c>
      <c r="J94" t="str">
        <f t="shared" si="14"/>
        <v>080203</v>
      </c>
      <c r="K94" t="s">
        <v>23</v>
      </c>
      <c r="L94" t="s">
        <v>24</v>
      </c>
      <c r="M94" t="str">
        <f t="shared" si="12"/>
        <v>1</v>
      </c>
      <c r="O94" t="str">
        <f t="shared" si="13"/>
        <v>1 </v>
      </c>
      <c r="P94">
        <v>11.9</v>
      </c>
      <c r="Q94" t="s">
        <v>25</v>
      </c>
    </row>
    <row r="95" spans="1:17" ht="12.75">
      <c r="A95" t="s">
        <v>17</v>
      </c>
      <c r="B95" t="s">
        <v>18</v>
      </c>
      <c r="C95" t="s">
        <v>89</v>
      </c>
      <c r="D95" t="str">
        <f>CONCATENATE("0130007668","")</f>
        <v>0130007668</v>
      </c>
      <c r="E95" t="str">
        <f>CONCATENATE("0020302001140       ","")</f>
        <v>0020302001140       </v>
      </c>
      <c r="F95" t="str">
        <f>CONCATENATE("112722","")</f>
        <v>112722</v>
      </c>
      <c r="G95" t="s">
        <v>192</v>
      </c>
      <c r="H95" t="s">
        <v>218</v>
      </c>
      <c r="I95" t="s">
        <v>219</v>
      </c>
      <c r="J95" t="str">
        <f t="shared" si="14"/>
        <v>080203</v>
      </c>
      <c r="K95" t="s">
        <v>23</v>
      </c>
      <c r="L95" t="s">
        <v>24</v>
      </c>
      <c r="M95" t="str">
        <f>CONCATENATE("3","")</f>
        <v>3</v>
      </c>
      <c r="O95" t="str">
        <f t="shared" si="13"/>
        <v>1 </v>
      </c>
      <c r="P95">
        <v>57.6</v>
      </c>
      <c r="Q95" t="s">
        <v>124</v>
      </c>
    </row>
    <row r="96" spans="1:17" ht="12.75">
      <c r="A96" t="s">
        <v>17</v>
      </c>
      <c r="B96" t="s">
        <v>18</v>
      </c>
      <c r="C96" t="s">
        <v>89</v>
      </c>
      <c r="D96" t="str">
        <f>CONCATENATE("0130008390","")</f>
        <v>0130008390</v>
      </c>
      <c r="E96" t="str">
        <f>CONCATENATE("0020302001155       ","")</f>
        <v>0020302001155       </v>
      </c>
      <c r="F96" t="str">
        <f>CONCATENATE("605350547","")</f>
        <v>605350547</v>
      </c>
      <c r="G96" t="s">
        <v>192</v>
      </c>
      <c r="H96" t="s">
        <v>220</v>
      </c>
      <c r="I96" t="s">
        <v>221</v>
      </c>
      <c r="J96" t="str">
        <f t="shared" si="14"/>
        <v>080203</v>
      </c>
      <c r="K96" t="s">
        <v>23</v>
      </c>
      <c r="L96" t="s">
        <v>24</v>
      </c>
      <c r="M96" t="str">
        <f>CONCATENATE("1","")</f>
        <v>1</v>
      </c>
      <c r="O96" t="str">
        <f t="shared" si="13"/>
        <v>1 </v>
      </c>
      <c r="P96">
        <v>123.1</v>
      </c>
      <c r="Q96" t="s">
        <v>25</v>
      </c>
    </row>
    <row r="97" spans="1:17" ht="12.75">
      <c r="A97" t="s">
        <v>17</v>
      </c>
      <c r="B97" t="s">
        <v>18</v>
      </c>
      <c r="C97" t="s">
        <v>89</v>
      </c>
      <c r="D97" t="str">
        <f>CONCATENATE("0130020396","")</f>
        <v>0130020396</v>
      </c>
      <c r="E97" t="str">
        <f>CONCATENATE("0020302001215       ","")</f>
        <v>0020302001215       </v>
      </c>
      <c r="F97" t="str">
        <f>CONCATENATE("507008265","")</f>
        <v>507008265</v>
      </c>
      <c r="G97" t="s">
        <v>192</v>
      </c>
      <c r="H97" t="s">
        <v>222</v>
      </c>
      <c r="I97" t="s">
        <v>223</v>
      </c>
      <c r="J97" t="str">
        <f t="shared" si="14"/>
        <v>080203</v>
      </c>
      <c r="K97" t="s">
        <v>23</v>
      </c>
      <c r="L97" t="s">
        <v>24</v>
      </c>
      <c r="M97" t="str">
        <f>CONCATENATE("3","")</f>
        <v>3</v>
      </c>
      <c r="O97" t="str">
        <f t="shared" si="13"/>
        <v>1 </v>
      </c>
      <c r="P97">
        <v>122.15</v>
      </c>
      <c r="Q97" t="s">
        <v>124</v>
      </c>
    </row>
    <row r="98" spans="1:17" ht="12.75">
      <c r="A98" t="s">
        <v>17</v>
      </c>
      <c r="B98" t="s">
        <v>18</v>
      </c>
      <c r="C98" t="s">
        <v>89</v>
      </c>
      <c r="D98" t="str">
        <f>CONCATENATE("0130017501","")</f>
        <v>0130017501</v>
      </c>
      <c r="E98" t="str">
        <f>CONCATENATE("0020302001223       ","")</f>
        <v>0020302001223       </v>
      </c>
      <c r="F98" t="str">
        <f>CONCATENATE("2186895","")</f>
        <v>2186895</v>
      </c>
      <c r="G98" t="s">
        <v>192</v>
      </c>
      <c r="H98" t="s">
        <v>224</v>
      </c>
      <c r="I98" t="s">
        <v>47</v>
      </c>
      <c r="J98" t="str">
        <f t="shared" si="14"/>
        <v>080203</v>
      </c>
      <c r="K98" t="s">
        <v>23</v>
      </c>
      <c r="L98" t="s">
        <v>24</v>
      </c>
      <c r="M98" t="str">
        <f aca="true" t="shared" si="15" ref="M98:M105">CONCATENATE("1","")</f>
        <v>1</v>
      </c>
      <c r="O98" t="str">
        <f t="shared" si="13"/>
        <v>1 </v>
      </c>
      <c r="P98">
        <v>12.35</v>
      </c>
      <c r="Q98" t="s">
        <v>25</v>
      </c>
    </row>
    <row r="99" spans="1:17" ht="12.75">
      <c r="A99" t="s">
        <v>17</v>
      </c>
      <c r="B99" t="s">
        <v>18</v>
      </c>
      <c r="C99" t="s">
        <v>89</v>
      </c>
      <c r="D99" t="str">
        <f>CONCATENATE("0130015124","")</f>
        <v>0130015124</v>
      </c>
      <c r="E99" t="str">
        <f>CONCATENATE("0020302001228       ","")</f>
        <v>0020302001228       </v>
      </c>
      <c r="F99" t="str">
        <f>CONCATENATE("1428288","")</f>
        <v>1428288</v>
      </c>
      <c r="G99" t="s">
        <v>192</v>
      </c>
      <c r="H99" t="s">
        <v>225</v>
      </c>
      <c r="I99" t="s">
        <v>87</v>
      </c>
      <c r="J99" t="str">
        <f t="shared" si="14"/>
        <v>080203</v>
      </c>
      <c r="K99" t="s">
        <v>23</v>
      </c>
      <c r="L99" t="s">
        <v>24</v>
      </c>
      <c r="M99" t="str">
        <f t="shared" si="15"/>
        <v>1</v>
      </c>
      <c r="O99" t="str">
        <f t="shared" si="13"/>
        <v>1 </v>
      </c>
      <c r="P99">
        <v>13.4</v>
      </c>
      <c r="Q99" t="s">
        <v>25</v>
      </c>
    </row>
    <row r="100" spans="1:17" ht="12.75">
      <c r="A100" t="s">
        <v>17</v>
      </c>
      <c r="B100" t="s">
        <v>18</v>
      </c>
      <c r="C100" t="s">
        <v>89</v>
      </c>
      <c r="D100" t="str">
        <f>CONCATENATE("0130020646","")</f>
        <v>0130020646</v>
      </c>
      <c r="E100" t="str">
        <f>CONCATENATE("0020302001343       ","")</f>
        <v>0020302001343       </v>
      </c>
      <c r="F100" t="str">
        <f>CONCATENATE("1670829","")</f>
        <v>1670829</v>
      </c>
      <c r="G100" t="s">
        <v>192</v>
      </c>
      <c r="H100" t="s">
        <v>226</v>
      </c>
      <c r="I100" t="s">
        <v>227</v>
      </c>
      <c r="J100" t="str">
        <f t="shared" si="14"/>
        <v>080203</v>
      </c>
      <c r="K100" t="s">
        <v>23</v>
      </c>
      <c r="L100" t="s">
        <v>24</v>
      </c>
      <c r="M100" t="str">
        <f t="shared" si="15"/>
        <v>1</v>
      </c>
      <c r="O100" t="str">
        <f t="shared" si="13"/>
        <v>1 </v>
      </c>
      <c r="P100">
        <v>22.45</v>
      </c>
      <c r="Q100" t="s">
        <v>25</v>
      </c>
    </row>
    <row r="101" spans="1:17" ht="12.75">
      <c r="A101" t="s">
        <v>17</v>
      </c>
      <c r="B101" t="s">
        <v>18</v>
      </c>
      <c r="C101" t="s">
        <v>89</v>
      </c>
      <c r="D101" t="str">
        <f>CONCATENATE("0130013137","")</f>
        <v>0130013137</v>
      </c>
      <c r="E101" t="str">
        <f>CONCATENATE("0020302001345       ","")</f>
        <v>0020302001345       </v>
      </c>
      <c r="F101" t="str">
        <f>CONCATENATE("606603204","")</f>
        <v>606603204</v>
      </c>
      <c r="G101" t="s">
        <v>192</v>
      </c>
      <c r="H101" t="s">
        <v>228</v>
      </c>
      <c r="I101" t="s">
        <v>229</v>
      </c>
      <c r="J101" t="str">
        <f t="shared" si="14"/>
        <v>080203</v>
      </c>
      <c r="K101" t="s">
        <v>23</v>
      </c>
      <c r="L101" t="s">
        <v>24</v>
      </c>
      <c r="M101" t="str">
        <f t="shared" si="15"/>
        <v>1</v>
      </c>
      <c r="O101" t="str">
        <f t="shared" si="13"/>
        <v>1 </v>
      </c>
      <c r="P101">
        <v>23.2</v>
      </c>
      <c r="Q101" t="s">
        <v>25</v>
      </c>
    </row>
    <row r="102" spans="1:17" ht="12.75">
      <c r="A102" t="s">
        <v>17</v>
      </c>
      <c r="B102" t="s">
        <v>18</v>
      </c>
      <c r="C102" t="s">
        <v>89</v>
      </c>
      <c r="D102" t="str">
        <f>CONCATENATE("0130000915","")</f>
        <v>0130000915</v>
      </c>
      <c r="E102" t="str">
        <f>CONCATENATE("0020302001430       ","")</f>
        <v>0020302001430       </v>
      </c>
      <c r="F102" t="str">
        <f>CONCATENATE("605390456","")</f>
        <v>605390456</v>
      </c>
      <c r="G102" t="s">
        <v>192</v>
      </c>
      <c r="H102" t="s">
        <v>230</v>
      </c>
      <c r="I102" t="s">
        <v>231</v>
      </c>
      <c r="J102" t="str">
        <f t="shared" si="14"/>
        <v>080203</v>
      </c>
      <c r="K102" t="s">
        <v>23</v>
      </c>
      <c r="L102" t="s">
        <v>24</v>
      </c>
      <c r="M102" t="str">
        <f t="shared" si="15"/>
        <v>1</v>
      </c>
      <c r="O102" t="str">
        <f t="shared" si="13"/>
        <v>1 </v>
      </c>
      <c r="P102">
        <v>17.95</v>
      </c>
      <c r="Q102" t="s">
        <v>25</v>
      </c>
    </row>
    <row r="103" spans="1:17" ht="12.75">
      <c r="A103" t="s">
        <v>17</v>
      </c>
      <c r="B103" t="s">
        <v>18</v>
      </c>
      <c r="C103" t="s">
        <v>19</v>
      </c>
      <c r="D103" t="str">
        <f>CONCATENATE("0130009305","")</f>
        <v>0130009305</v>
      </c>
      <c r="E103" t="str">
        <f>CONCATENATE("0020305000062       ","")</f>
        <v>0020305000062       </v>
      </c>
      <c r="F103" t="str">
        <f>CONCATENATE("605744893","")</f>
        <v>605744893</v>
      </c>
      <c r="G103" t="s">
        <v>232</v>
      </c>
      <c r="H103" t="s">
        <v>233</v>
      </c>
      <c r="I103" t="s">
        <v>234</v>
      </c>
      <c r="J103" t="str">
        <f>CONCATENATE("080201","")</f>
        <v>080201</v>
      </c>
      <c r="K103" t="s">
        <v>23</v>
      </c>
      <c r="L103" t="s">
        <v>24</v>
      </c>
      <c r="M103" t="str">
        <f t="shared" si="15"/>
        <v>1</v>
      </c>
      <c r="O103" t="str">
        <f t="shared" si="13"/>
        <v>1 </v>
      </c>
      <c r="P103">
        <v>18.95</v>
      </c>
      <c r="Q103" t="s">
        <v>25</v>
      </c>
    </row>
    <row r="104" spans="1:17" ht="12.75">
      <c r="A104" t="s">
        <v>17</v>
      </c>
      <c r="B104" t="s">
        <v>18</v>
      </c>
      <c r="C104" t="s">
        <v>89</v>
      </c>
      <c r="D104" t="str">
        <f>CONCATENATE("0040030215","")</f>
        <v>0040030215</v>
      </c>
      <c r="E104" t="str">
        <f>CONCATENATE("0020305000185       ","")</f>
        <v>0020305000185       </v>
      </c>
      <c r="F104" t="str">
        <f>CONCATENATE("2186470","")</f>
        <v>2186470</v>
      </c>
      <c r="G104" t="s">
        <v>232</v>
      </c>
      <c r="H104" t="s">
        <v>235</v>
      </c>
      <c r="I104" t="s">
        <v>236</v>
      </c>
      <c r="J104" t="str">
        <f>CONCATENATE("080203","")</f>
        <v>080203</v>
      </c>
      <c r="K104" t="s">
        <v>23</v>
      </c>
      <c r="L104" t="s">
        <v>24</v>
      </c>
      <c r="M104" t="str">
        <f t="shared" si="15"/>
        <v>1</v>
      </c>
      <c r="O104" t="str">
        <f>CONCATENATE("2 ","")</f>
        <v>2 </v>
      </c>
      <c r="P104">
        <v>18.9</v>
      </c>
      <c r="Q104" t="s">
        <v>25</v>
      </c>
    </row>
    <row r="105" spans="1:17" ht="12.75">
      <c r="A105" t="s">
        <v>17</v>
      </c>
      <c r="B105" t="s">
        <v>18</v>
      </c>
      <c r="C105" t="s">
        <v>89</v>
      </c>
      <c r="D105" t="str">
        <f>CONCATENATE("0130000943","")</f>
        <v>0130000943</v>
      </c>
      <c r="E105" t="str">
        <f>CONCATENATE("0020305000220       ","")</f>
        <v>0020305000220       </v>
      </c>
      <c r="F105" t="str">
        <f>CONCATENATE("605349689","")</f>
        <v>605349689</v>
      </c>
      <c r="G105" t="s">
        <v>232</v>
      </c>
      <c r="H105" t="s">
        <v>237</v>
      </c>
      <c r="I105" t="s">
        <v>238</v>
      </c>
      <c r="J105" t="str">
        <f>CONCATENATE("080203","")</f>
        <v>080203</v>
      </c>
      <c r="K105" t="s">
        <v>23</v>
      </c>
      <c r="L105" t="s">
        <v>24</v>
      </c>
      <c r="M105" t="str">
        <f t="shared" si="15"/>
        <v>1</v>
      </c>
      <c r="O105" t="str">
        <f>CONCATENATE("1 ","")</f>
        <v>1 </v>
      </c>
      <c r="P105">
        <v>13.85</v>
      </c>
      <c r="Q105" t="s">
        <v>25</v>
      </c>
    </row>
    <row r="106" spans="1:17" ht="12.75">
      <c r="A106" t="s">
        <v>17</v>
      </c>
      <c r="B106" t="s">
        <v>18</v>
      </c>
      <c r="C106" t="s">
        <v>89</v>
      </c>
      <c r="D106" t="str">
        <f>CONCATENATE("0130010130","")</f>
        <v>0130010130</v>
      </c>
      <c r="E106" t="str">
        <f>CONCATENATE("0020307000040       ","")</f>
        <v>0020307000040       </v>
      </c>
      <c r="F106" t="str">
        <f>CONCATENATE("605398970","")</f>
        <v>605398970</v>
      </c>
      <c r="G106" t="s">
        <v>239</v>
      </c>
      <c r="H106" t="s">
        <v>240</v>
      </c>
      <c r="I106" t="s">
        <v>241</v>
      </c>
      <c r="J106" t="str">
        <f>CONCATENATE("080203","")</f>
        <v>080203</v>
      </c>
      <c r="K106" t="s">
        <v>23</v>
      </c>
      <c r="L106" t="s">
        <v>24</v>
      </c>
      <c r="M106" t="str">
        <f>CONCATENATE("2","")</f>
        <v>2</v>
      </c>
      <c r="O106" t="str">
        <f>CONCATENATE("1 ","")</f>
        <v>1 </v>
      </c>
      <c r="P106">
        <v>13.75</v>
      </c>
      <c r="Q106" t="s">
        <v>25</v>
      </c>
    </row>
    <row r="107" spans="1:17" ht="12.75">
      <c r="A107" t="s">
        <v>17</v>
      </c>
      <c r="B107" t="s">
        <v>18</v>
      </c>
      <c r="C107" t="s">
        <v>89</v>
      </c>
      <c r="D107" t="str">
        <f>CONCATENATE("0130010256","")</f>
        <v>0130010256</v>
      </c>
      <c r="E107" t="str">
        <f>CONCATENATE("0020307000159       ","")</f>
        <v>0020307000159       </v>
      </c>
      <c r="F107" t="str">
        <f>CONCATENATE("605742881","")</f>
        <v>605742881</v>
      </c>
      <c r="G107" t="s">
        <v>239</v>
      </c>
      <c r="H107" t="s">
        <v>242</v>
      </c>
      <c r="I107" t="s">
        <v>241</v>
      </c>
      <c r="J107" t="str">
        <f>CONCATENATE("080203","")</f>
        <v>080203</v>
      </c>
      <c r="K107" t="s">
        <v>23</v>
      </c>
      <c r="L107" t="s">
        <v>24</v>
      </c>
      <c r="M107" t="str">
        <f aca="true" t="shared" si="16" ref="M107:M138">CONCATENATE("1","")</f>
        <v>1</v>
      </c>
      <c r="O107" t="str">
        <f>CONCATENATE("1 ","")</f>
        <v>1 </v>
      </c>
      <c r="P107">
        <v>24.45</v>
      </c>
      <c r="Q107" t="s">
        <v>25</v>
      </c>
    </row>
    <row r="108" spans="1:17" ht="12.75">
      <c r="A108" t="s">
        <v>17</v>
      </c>
      <c r="B108" t="s">
        <v>18</v>
      </c>
      <c r="C108" t="s">
        <v>19</v>
      </c>
      <c r="D108" t="str">
        <f>CONCATENATE("0130020353","")</f>
        <v>0130020353</v>
      </c>
      <c r="E108" t="str">
        <f>CONCATENATE("0020310010080       ","")</f>
        <v>0020310010080       </v>
      </c>
      <c r="F108" t="str">
        <f>CONCATENATE("1601700","")</f>
        <v>1601700</v>
      </c>
      <c r="G108" t="s">
        <v>243</v>
      </c>
      <c r="H108" t="s">
        <v>244</v>
      </c>
      <c r="I108" t="s">
        <v>245</v>
      </c>
      <c r="J108" t="str">
        <f>CONCATENATE("080201","")</f>
        <v>080201</v>
      </c>
      <c r="K108" t="s">
        <v>23</v>
      </c>
      <c r="L108" t="s">
        <v>24</v>
      </c>
      <c r="M108" t="str">
        <f t="shared" si="16"/>
        <v>1</v>
      </c>
      <c r="O108" t="str">
        <f>CONCATENATE("2 ","")</f>
        <v>2 </v>
      </c>
      <c r="P108">
        <v>21.55</v>
      </c>
      <c r="Q108" t="s">
        <v>25</v>
      </c>
    </row>
    <row r="109" spans="1:17" ht="12.75">
      <c r="A109" t="s">
        <v>17</v>
      </c>
      <c r="B109" t="s">
        <v>18</v>
      </c>
      <c r="C109" t="s">
        <v>19</v>
      </c>
      <c r="D109" t="str">
        <f>CONCATENATE("0130015585","")</f>
        <v>0130015585</v>
      </c>
      <c r="E109" t="str">
        <f>CONCATENATE("0020316010080       ","")</f>
        <v>0020316010080       </v>
      </c>
      <c r="F109" t="str">
        <f>CONCATENATE("605287556","")</f>
        <v>605287556</v>
      </c>
      <c r="G109" t="s">
        <v>246</v>
      </c>
      <c r="H109" t="s">
        <v>247</v>
      </c>
      <c r="I109" t="s">
        <v>248</v>
      </c>
      <c r="J109" t="str">
        <f>CONCATENATE("080201","")</f>
        <v>080201</v>
      </c>
      <c r="K109" t="s">
        <v>23</v>
      </c>
      <c r="L109" t="s">
        <v>24</v>
      </c>
      <c r="M109" t="str">
        <f t="shared" si="16"/>
        <v>1</v>
      </c>
      <c r="O109" t="str">
        <f>CONCATENATE("2 ","")</f>
        <v>2 </v>
      </c>
      <c r="P109">
        <v>17.95</v>
      </c>
      <c r="Q109" t="s">
        <v>25</v>
      </c>
    </row>
    <row r="110" spans="1:17" ht="12.75">
      <c r="A110" t="s">
        <v>17</v>
      </c>
      <c r="B110" t="s">
        <v>18</v>
      </c>
      <c r="C110" t="s">
        <v>89</v>
      </c>
      <c r="D110" t="str">
        <f>CONCATENATE("0130016023","")</f>
        <v>0130016023</v>
      </c>
      <c r="E110" t="str">
        <f>CONCATENATE("0020318000030       ","")</f>
        <v>0020318000030       </v>
      </c>
      <c r="F110" t="str">
        <f>CONCATENATE("605280607","")</f>
        <v>605280607</v>
      </c>
      <c r="G110" t="s">
        <v>249</v>
      </c>
      <c r="H110" t="s">
        <v>250</v>
      </c>
      <c r="I110" t="s">
        <v>251</v>
      </c>
      <c r="J110" t="str">
        <f>CONCATENATE("080203","")</f>
        <v>080203</v>
      </c>
      <c r="K110" t="s">
        <v>23</v>
      </c>
      <c r="L110" t="s">
        <v>24</v>
      </c>
      <c r="M110" t="str">
        <f t="shared" si="16"/>
        <v>1</v>
      </c>
      <c r="O110" t="str">
        <f>CONCATENATE("3 ","")</f>
        <v>3 </v>
      </c>
      <c r="P110">
        <v>30.2</v>
      </c>
      <c r="Q110" t="s">
        <v>25</v>
      </c>
    </row>
    <row r="111" spans="1:17" ht="12.75">
      <c r="A111" t="s">
        <v>17</v>
      </c>
      <c r="B111" t="s">
        <v>18</v>
      </c>
      <c r="C111" t="s">
        <v>188</v>
      </c>
      <c r="D111" t="str">
        <f>CONCATENATE("0130000950","")</f>
        <v>0130000950</v>
      </c>
      <c r="E111" t="str">
        <f>CONCATENATE("0020401000030       ","")</f>
        <v>0020401000030       </v>
      </c>
      <c r="F111" t="str">
        <f>CONCATENATE("605120301","")</f>
        <v>605120301</v>
      </c>
      <c r="G111" t="s">
        <v>252</v>
      </c>
      <c r="H111" t="s">
        <v>253</v>
      </c>
      <c r="I111" t="s">
        <v>254</v>
      </c>
      <c r="J111" t="str">
        <f aca="true" t="shared" si="17" ref="J111:J120">CONCATENATE("080204","")</f>
        <v>080204</v>
      </c>
      <c r="K111" t="s">
        <v>23</v>
      </c>
      <c r="L111" t="s">
        <v>24</v>
      </c>
      <c r="M111" t="str">
        <f t="shared" si="16"/>
        <v>1</v>
      </c>
      <c r="O111" t="str">
        <f aca="true" t="shared" si="18" ref="O111:O119">CONCATENATE("1 ","")</f>
        <v>1 </v>
      </c>
      <c r="P111">
        <v>21.7</v>
      </c>
      <c r="Q111" t="s">
        <v>25</v>
      </c>
    </row>
    <row r="112" spans="1:17" ht="12.75">
      <c r="A112" t="s">
        <v>17</v>
      </c>
      <c r="B112" t="s">
        <v>18</v>
      </c>
      <c r="C112" t="s">
        <v>188</v>
      </c>
      <c r="D112" t="str">
        <f>CONCATENATE("0130017265","")</f>
        <v>0130017265</v>
      </c>
      <c r="E112" t="str">
        <f>CONCATENATE("0020401000440       ","")</f>
        <v>0020401000440       </v>
      </c>
      <c r="F112" t="str">
        <f>CONCATENATE("605631243","")</f>
        <v>605631243</v>
      </c>
      <c r="G112" t="s">
        <v>252</v>
      </c>
      <c r="H112" t="s">
        <v>255</v>
      </c>
      <c r="I112" t="s">
        <v>256</v>
      </c>
      <c r="J112" t="str">
        <f t="shared" si="17"/>
        <v>080204</v>
      </c>
      <c r="K112" t="s">
        <v>23</v>
      </c>
      <c r="L112" t="s">
        <v>24</v>
      </c>
      <c r="M112" t="str">
        <f t="shared" si="16"/>
        <v>1</v>
      </c>
      <c r="O112" t="str">
        <f t="shared" si="18"/>
        <v>1 </v>
      </c>
      <c r="P112">
        <v>13.45</v>
      </c>
      <c r="Q112" t="s">
        <v>25</v>
      </c>
    </row>
    <row r="113" spans="1:17" ht="12.75">
      <c r="A113" t="s">
        <v>17</v>
      </c>
      <c r="B113" t="s">
        <v>18</v>
      </c>
      <c r="C113" t="s">
        <v>188</v>
      </c>
      <c r="D113" t="str">
        <f>CONCATENATE("0130017311","")</f>
        <v>0130017311</v>
      </c>
      <c r="E113" t="str">
        <f>CONCATENATE("0020401000920       ","")</f>
        <v>0020401000920       </v>
      </c>
      <c r="F113" t="str">
        <f>CONCATENATE("0605749609","")</f>
        <v>0605749609</v>
      </c>
      <c r="G113" t="s">
        <v>252</v>
      </c>
      <c r="H113" t="s">
        <v>257</v>
      </c>
      <c r="I113" t="s">
        <v>258</v>
      </c>
      <c r="J113" t="str">
        <f t="shared" si="17"/>
        <v>080204</v>
      </c>
      <c r="K113" t="s">
        <v>23</v>
      </c>
      <c r="L113" t="s">
        <v>24</v>
      </c>
      <c r="M113" t="str">
        <f t="shared" si="16"/>
        <v>1</v>
      </c>
      <c r="O113" t="str">
        <f t="shared" si="18"/>
        <v>1 </v>
      </c>
      <c r="P113">
        <v>24.1</v>
      </c>
      <c r="Q113" t="s">
        <v>25</v>
      </c>
    </row>
    <row r="114" spans="1:17" ht="12.75">
      <c r="A114" t="s">
        <v>17</v>
      </c>
      <c r="B114" t="s">
        <v>18</v>
      </c>
      <c r="C114" t="s">
        <v>188</v>
      </c>
      <c r="D114" t="str">
        <f>CONCATENATE("0130012496","")</f>
        <v>0130012496</v>
      </c>
      <c r="E114" t="str">
        <f>CONCATENATE("0020401000990       ","")</f>
        <v>0020401000990       </v>
      </c>
      <c r="F114" t="str">
        <f>CONCATENATE("00000006922","")</f>
        <v>00000006922</v>
      </c>
      <c r="G114" t="s">
        <v>252</v>
      </c>
      <c r="H114" t="s">
        <v>259</v>
      </c>
      <c r="I114" t="s">
        <v>260</v>
      </c>
      <c r="J114" t="str">
        <f t="shared" si="17"/>
        <v>080204</v>
      </c>
      <c r="K114" t="s">
        <v>23</v>
      </c>
      <c r="L114" t="s">
        <v>24</v>
      </c>
      <c r="M114" t="str">
        <f t="shared" si="16"/>
        <v>1</v>
      </c>
      <c r="O114" t="str">
        <f t="shared" si="18"/>
        <v>1 </v>
      </c>
      <c r="P114">
        <v>17.65</v>
      </c>
      <c r="Q114" t="s">
        <v>25</v>
      </c>
    </row>
    <row r="115" spans="1:17" ht="12.75">
      <c r="A115" t="s">
        <v>17</v>
      </c>
      <c r="B115" t="s">
        <v>18</v>
      </c>
      <c r="C115" t="s">
        <v>188</v>
      </c>
      <c r="D115" t="str">
        <f>CONCATENATE("0130001008","")</f>
        <v>0130001008</v>
      </c>
      <c r="E115" t="str">
        <f>CONCATENATE("0020401001080       ","")</f>
        <v>0020401001080       </v>
      </c>
      <c r="F115" t="str">
        <f>CONCATENATE("605120324","")</f>
        <v>605120324</v>
      </c>
      <c r="G115" t="s">
        <v>252</v>
      </c>
      <c r="H115" t="s">
        <v>261</v>
      </c>
      <c r="I115" t="s">
        <v>262</v>
      </c>
      <c r="J115" t="str">
        <f t="shared" si="17"/>
        <v>080204</v>
      </c>
      <c r="K115" t="s">
        <v>23</v>
      </c>
      <c r="L115" t="s">
        <v>24</v>
      </c>
      <c r="M115" t="str">
        <f t="shared" si="16"/>
        <v>1</v>
      </c>
      <c r="O115" t="str">
        <f t="shared" si="18"/>
        <v>1 </v>
      </c>
      <c r="P115">
        <v>18.75</v>
      </c>
      <c r="Q115" t="s">
        <v>25</v>
      </c>
    </row>
    <row r="116" spans="1:17" ht="12.75">
      <c r="A116" t="s">
        <v>17</v>
      </c>
      <c r="B116" t="s">
        <v>18</v>
      </c>
      <c r="C116" t="s">
        <v>188</v>
      </c>
      <c r="D116" t="str">
        <f>CONCATENATE("0130015164","")</f>
        <v>0130015164</v>
      </c>
      <c r="E116" t="str">
        <f>CONCATENATE("0020401001220       ","")</f>
        <v>0020401001220       </v>
      </c>
      <c r="F116" t="str">
        <f>CONCATENATE("606668839","")</f>
        <v>606668839</v>
      </c>
      <c r="G116" t="s">
        <v>252</v>
      </c>
      <c r="H116" t="s">
        <v>263</v>
      </c>
      <c r="I116" t="s">
        <v>258</v>
      </c>
      <c r="J116" t="str">
        <f t="shared" si="17"/>
        <v>080204</v>
      </c>
      <c r="K116" t="s">
        <v>23</v>
      </c>
      <c r="L116" t="s">
        <v>24</v>
      </c>
      <c r="M116" t="str">
        <f t="shared" si="16"/>
        <v>1</v>
      </c>
      <c r="O116" t="str">
        <f t="shared" si="18"/>
        <v>1 </v>
      </c>
      <c r="P116">
        <v>19.15</v>
      </c>
      <c r="Q116" t="s">
        <v>25</v>
      </c>
    </row>
    <row r="117" spans="1:17" ht="12.75">
      <c r="A117" t="s">
        <v>17</v>
      </c>
      <c r="B117" t="s">
        <v>18</v>
      </c>
      <c r="C117" t="s">
        <v>188</v>
      </c>
      <c r="D117" t="str">
        <f>CONCATENATE("0130015802","")</f>
        <v>0130015802</v>
      </c>
      <c r="E117" t="str">
        <f>CONCATENATE("0020401001300       ","")</f>
        <v>0020401001300       </v>
      </c>
      <c r="F117" t="str">
        <f>CONCATENATE("605281672","")</f>
        <v>605281672</v>
      </c>
      <c r="G117" t="s">
        <v>252</v>
      </c>
      <c r="H117" t="s">
        <v>264</v>
      </c>
      <c r="I117" t="s">
        <v>265</v>
      </c>
      <c r="J117" t="str">
        <f t="shared" si="17"/>
        <v>080204</v>
      </c>
      <c r="K117" t="s">
        <v>23</v>
      </c>
      <c r="L117" t="s">
        <v>24</v>
      </c>
      <c r="M117" t="str">
        <f t="shared" si="16"/>
        <v>1</v>
      </c>
      <c r="O117" t="str">
        <f t="shared" si="18"/>
        <v>1 </v>
      </c>
      <c r="P117">
        <v>11.75</v>
      </c>
      <c r="Q117" t="s">
        <v>25</v>
      </c>
    </row>
    <row r="118" spans="1:17" ht="12.75">
      <c r="A118" t="s">
        <v>17</v>
      </c>
      <c r="B118" t="s">
        <v>18</v>
      </c>
      <c r="C118" t="s">
        <v>188</v>
      </c>
      <c r="D118" t="str">
        <f>CONCATENATE("0130016718","")</f>
        <v>0130016718</v>
      </c>
      <c r="E118" t="str">
        <f>CONCATENATE("0020403000025       ","")</f>
        <v>0020403000025       </v>
      </c>
      <c r="F118" t="str">
        <f>CONCATENATE("605619597","")</f>
        <v>605619597</v>
      </c>
      <c r="G118" t="s">
        <v>266</v>
      </c>
      <c r="H118" t="s">
        <v>267</v>
      </c>
      <c r="I118" t="s">
        <v>268</v>
      </c>
      <c r="J118" t="str">
        <f t="shared" si="17"/>
        <v>080204</v>
      </c>
      <c r="K118" t="s">
        <v>23</v>
      </c>
      <c r="L118" t="s">
        <v>24</v>
      </c>
      <c r="M118" t="str">
        <f t="shared" si="16"/>
        <v>1</v>
      </c>
      <c r="O118" t="str">
        <f t="shared" si="18"/>
        <v>1 </v>
      </c>
      <c r="P118">
        <v>12.55</v>
      </c>
      <c r="Q118" t="s">
        <v>25</v>
      </c>
    </row>
    <row r="119" spans="1:17" ht="12.75">
      <c r="A119" t="s">
        <v>17</v>
      </c>
      <c r="B119" t="s">
        <v>18</v>
      </c>
      <c r="C119" t="s">
        <v>188</v>
      </c>
      <c r="D119" t="str">
        <f>CONCATENATE("0130008138","")</f>
        <v>0130008138</v>
      </c>
      <c r="E119" t="str">
        <f>CONCATENATE("0020403000240       ","")</f>
        <v>0020403000240       </v>
      </c>
      <c r="F119" t="str">
        <f>CONCATENATE("605397312","")</f>
        <v>605397312</v>
      </c>
      <c r="G119" t="s">
        <v>266</v>
      </c>
      <c r="H119" t="s">
        <v>269</v>
      </c>
      <c r="I119" t="s">
        <v>270</v>
      </c>
      <c r="J119" t="str">
        <f t="shared" si="17"/>
        <v>080204</v>
      </c>
      <c r="K119" t="s">
        <v>23</v>
      </c>
      <c r="L119" t="s">
        <v>24</v>
      </c>
      <c r="M119" t="str">
        <f t="shared" si="16"/>
        <v>1</v>
      </c>
      <c r="O119" t="str">
        <f t="shared" si="18"/>
        <v>1 </v>
      </c>
      <c r="P119">
        <v>27.4</v>
      </c>
      <c r="Q119" t="s">
        <v>25</v>
      </c>
    </row>
    <row r="120" spans="1:17" ht="12.75">
      <c r="A120" t="s">
        <v>17</v>
      </c>
      <c r="B120" t="s">
        <v>18</v>
      </c>
      <c r="C120" t="s">
        <v>188</v>
      </c>
      <c r="D120" t="str">
        <f>CONCATENATE("0130008526","")</f>
        <v>0130008526</v>
      </c>
      <c r="E120" t="str">
        <f>CONCATENATE("0020403000275       ","")</f>
        <v>0020403000275       </v>
      </c>
      <c r="F120" t="str">
        <f>CONCATENATE("605397307","")</f>
        <v>605397307</v>
      </c>
      <c r="G120" t="s">
        <v>266</v>
      </c>
      <c r="H120" t="s">
        <v>271</v>
      </c>
      <c r="I120" t="s">
        <v>272</v>
      </c>
      <c r="J120" t="str">
        <f t="shared" si="17"/>
        <v>080204</v>
      </c>
      <c r="K120" t="s">
        <v>23</v>
      </c>
      <c r="L120" t="s">
        <v>24</v>
      </c>
      <c r="M120" t="str">
        <f t="shared" si="16"/>
        <v>1</v>
      </c>
      <c r="O120" t="str">
        <f>CONCATENATE("2 ","")</f>
        <v>2 </v>
      </c>
      <c r="P120">
        <v>31.05</v>
      </c>
      <c r="Q120" t="s">
        <v>25</v>
      </c>
    </row>
    <row r="121" spans="1:17" ht="12.75">
      <c r="A121" t="s">
        <v>17</v>
      </c>
      <c r="B121" t="s">
        <v>18</v>
      </c>
      <c r="C121" t="s">
        <v>273</v>
      </c>
      <c r="D121" t="str">
        <f>CONCATENATE("0130013792","")</f>
        <v>0130013792</v>
      </c>
      <c r="E121" t="str">
        <f>CONCATENATE("0020404002455       ","")</f>
        <v>0020404002455       </v>
      </c>
      <c r="F121" t="str">
        <f>CONCATENATE("606664253","")</f>
        <v>606664253</v>
      </c>
      <c r="G121" t="s">
        <v>274</v>
      </c>
      <c r="H121" t="s">
        <v>275</v>
      </c>
      <c r="I121" t="s">
        <v>276</v>
      </c>
      <c r="J121" t="str">
        <f aca="true" t="shared" si="19" ref="J121:J132">CONCATENATE("080508","")</f>
        <v>080508</v>
      </c>
      <c r="K121" t="s">
        <v>23</v>
      </c>
      <c r="L121" t="s">
        <v>24</v>
      </c>
      <c r="M121" t="str">
        <f t="shared" si="16"/>
        <v>1</v>
      </c>
      <c r="O121" t="str">
        <f aca="true" t="shared" si="20" ref="O121:O128">CONCATENATE("1 ","")</f>
        <v>1 </v>
      </c>
      <c r="P121">
        <v>19.05</v>
      </c>
      <c r="Q121" t="s">
        <v>25</v>
      </c>
    </row>
    <row r="122" spans="1:17" ht="12.75">
      <c r="A122" t="s">
        <v>17</v>
      </c>
      <c r="B122" t="s">
        <v>18</v>
      </c>
      <c r="C122" t="s">
        <v>273</v>
      </c>
      <c r="D122" t="str">
        <f>CONCATENATE("0130010464","")</f>
        <v>0130010464</v>
      </c>
      <c r="E122" t="str">
        <f>CONCATENATE("0020404003090       ","")</f>
        <v>0020404003090       </v>
      </c>
      <c r="F122" t="str">
        <f>CONCATENATE("05504364","")</f>
        <v>05504364</v>
      </c>
      <c r="G122" t="s">
        <v>277</v>
      </c>
      <c r="H122" t="s">
        <v>278</v>
      </c>
      <c r="I122" t="s">
        <v>279</v>
      </c>
      <c r="J122" t="str">
        <f t="shared" si="19"/>
        <v>080508</v>
      </c>
      <c r="K122" t="s">
        <v>23</v>
      </c>
      <c r="L122" t="s">
        <v>24</v>
      </c>
      <c r="M122" t="str">
        <f t="shared" si="16"/>
        <v>1</v>
      </c>
      <c r="O122" t="str">
        <f t="shared" si="20"/>
        <v>1 </v>
      </c>
      <c r="P122">
        <v>18.65</v>
      </c>
      <c r="Q122" t="s">
        <v>25</v>
      </c>
    </row>
    <row r="123" spans="1:17" ht="12.75">
      <c r="A123" t="s">
        <v>17</v>
      </c>
      <c r="B123" t="s">
        <v>18</v>
      </c>
      <c r="C123" t="s">
        <v>273</v>
      </c>
      <c r="D123" t="str">
        <f>CONCATENATE("0130011047","")</f>
        <v>0130011047</v>
      </c>
      <c r="E123" t="str">
        <f>CONCATENATE("0020404004300       ","")</f>
        <v>0020404004300       </v>
      </c>
      <c r="F123" t="str">
        <f>CONCATENATE("0605878143","")</f>
        <v>0605878143</v>
      </c>
      <c r="G123" t="s">
        <v>274</v>
      </c>
      <c r="H123" t="s">
        <v>280</v>
      </c>
      <c r="I123" t="s">
        <v>281</v>
      </c>
      <c r="J123" t="str">
        <f t="shared" si="19"/>
        <v>080508</v>
      </c>
      <c r="K123" t="s">
        <v>23</v>
      </c>
      <c r="L123" t="s">
        <v>24</v>
      </c>
      <c r="M123" t="str">
        <f t="shared" si="16"/>
        <v>1</v>
      </c>
      <c r="O123" t="str">
        <f t="shared" si="20"/>
        <v>1 </v>
      </c>
      <c r="P123">
        <v>31.15</v>
      </c>
      <c r="Q123" t="s">
        <v>25</v>
      </c>
    </row>
    <row r="124" spans="1:17" ht="12.75">
      <c r="A124" t="s">
        <v>17</v>
      </c>
      <c r="B124" t="s">
        <v>18</v>
      </c>
      <c r="C124" t="s">
        <v>273</v>
      </c>
      <c r="D124" t="str">
        <f>CONCATENATE("0130012482","")</f>
        <v>0130012482</v>
      </c>
      <c r="E124" t="str">
        <f>CONCATENATE("0020406000250       ","")</f>
        <v>0020406000250       </v>
      </c>
      <c r="F124" t="str">
        <f>CONCATENATE("2121724","")</f>
        <v>2121724</v>
      </c>
      <c r="G124" t="s">
        <v>282</v>
      </c>
      <c r="H124" t="s">
        <v>283</v>
      </c>
      <c r="I124" t="s">
        <v>284</v>
      </c>
      <c r="J124" t="str">
        <f t="shared" si="19"/>
        <v>080508</v>
      </c>
      <c r="K124" t="s">
        <v>23</v>
      </c>
      <c r="L124" t="s">
        <v>24</v>
      </c>
      <c r="M124" t="str">
        <f t="shared" si="16"/>
        <v>1</v>
      </c>
      <c r="O124" t="str">
        <f t="shared" si="20"/>
        <v>1 </v>
      </c>
      <c r="P124">
        <v>25.8</v>
      </c>
      <c r="Q124" t="s">
        <v>25</v>
      </c>
    </row>
    <row r="125" spans="1:17" ht="12.75">
      <c r="A125" t="s">
        <v>17</v>
      </c>
      <c r="B125" t="s">
        <v>18</v>
      </c>
      <c r="C125" t="s">
        <v>273</v>
      </c>
      <c r="D125" t="str">
        <f>CONCATENATE("0130012432","")</f>
        <v>0130012432</v>
      </c>
      <c r="E125" t="str">
        <f>CONCATENATE("0020410000030       ","")</f>
        <v>0020410000030       </v>
      </c>
      <c r="F125" t="str">
        <f>CONCATENATE("00002757290","")</f>
        <v>00002757290</v>
      </c>
      <c r="G125" t="s">
        <v>285</v>
      </c>
      <c r="H125" t="s">
        <v>286</v>
      </c>
      <c r="I125" t="s">
        <v>287</v>
      </c>
      <c r="J125" t="str">
        <f t="shared" si="19"/>
        <v>080508</v>
      </c>
      <c r="K125" t="s">
        <v>23</v>
      </c>
      <c r="L125" t="s">
        <v>24</v>
      </c>
      <c r="M125" t="str">
        <f t="shared" si="16"/>
        <v>1</v>
      </c>
      <c r="O125" t="str">
        <f t="shared" si="20"/>
        <v>1 </v>
      </c>
      <c r="P125">
        <v>22.85</v>
      </c>
      <c r="Q125" t="s">
        <v>25</v>
      </c>
    </row>
    <row r="126" spans="1:17" ht="12.75">
      <c r="A126" t="s">
        <v>17</v>
      </c>
      <c r="B126" t="s">
        <v>18</v>
      </c>
      <c r="C126" t="s">
        <v>273</v>
      </c>
      <c r="D126" t="str">
        <f>CONCATENATE("0130012434","")</f>
        <v>0130012434</v>
      </c>
      <c r="E126" t="str">
        <f>CONCATENATE("0020410000080       ","")</f>
        <v>0020410000080       </v>
      </c>
      <c r="F126" t="str">
        <f>CONCATENATE("00002757291","")</f>
        <v>00002757291</v>
      </c>
      <c r="G126" t="s">
        <v>285</v>
      </c>
      <c r="H126" t="s">
        <v>288</v>
      </c>
      <c r="I126" t="s">
        <v>287</v>
      </c>
      <c r="J126" t="str">
        <f t="shared" si="19"/>
        <v>080508</v>
      </c>
      <c r="K126" t="s">
        <v>23</v>
      </c>
      <c r="L126" t="s">
        <v>24</v>
      </c>
      <c r="M126" t="str">
        <f t="shared" si="16"/>
        <v>1</v>
      </c>
      <c r="O126" t="str">
        <f t="shared" si="20"/>
        <v>1 </v>
      </c>
      <c r="P126">
        <v>25.75</v>
      </c>
      <c r="Q126" t="s">
        <v>25</v>
      </c>
    </row>
    <row r="127" spans="1:17" ht="12.75">
      <c r="A127" t="s">
        <v>17</v>
      </c>
      <c r="B127" t="s">
        <v>18</v>
      </c>
      <c r="C127" t="s">
        <v>273</v>
      </c>
      <c r="D127" t="str">
        <f>CONCATENATE("0130012696","")</f>
        <v>0130012696</v>
      </c>
      <c r="E127" t="str">
        <f>CONCATENATE("0020415000380       ","")</f>
        <v>0020415000380       </v>
      </c>
      <c r="F127" t="str">
        <f>CONCATENATE("1602287","")</f>
        <v>1602287</v>
      </c>
      <c r="G127" t="s">
        <v>289</v>
      </c>
      <c r="H127" t="s">
        <v>290</v>
      </c>
      <c r="I127" t="s">
        <v>291</v>
      </c>
      <c r="J127" t="str">
        <f t="shared" si="19"/>
        <v>080508</v>
      </c>
      <c r="K127" t="s">
        <v>23</v>
      </c>
      <c r="L127" t="s">
        <v>24</v>
      </c>
      <c r="M127" t="str">
        <f t="shared" si="16"/>
        <v>1</v>
      </c>
      <c r="O127" t="str">
        <f t="shared" si="20"/>
        <v>1 </v>
      </c>
      <c r="P127">
        <v>30.75</v>
      </c>
      <c r="Q127" t="s">
        <v>25</v>
      </c>
    </row>
    <row r="128" spans="1:17" ht="12.75">
      <c r="A128" t="s">
        <v>17</v>
      </c>
      <c r="B128" t="s">
        <v>18</v>
      </c>
      <c r="C128" t="s">
        <v>273</v>
      </c>
      <c r="D128" t="str">
        <f>CONCATENATE("0130020220","")</f>
        <v>0130020220</v>
      </c>
      <c r="E128" t="str">
        <f>CONCATENATE("0020415001330       ","")</f>
        <v>0020415001330       </v>
      </c>
      <c r="F128" t="str">
        <f>CONCATENATE("0606033513","")</f>
        <v>0606033513</v>
      </c>
      <c r="G128" t="s">
        <v>289</v>
      </c>
      <c r="H128" t="s">
        <v>292</v>
      </c>
      <c r="I128" t="s">
        <v>291</v>
      </c>
      <c r="J128" t="str">
        <f t="shared" si="19"/>
        <v>080508</v>
      </c>
      <c r="K128" t="s">
        <v>23</v>
      </c>
      <c r="L128" t="s">
        <v>24</v>
      </c>
      <c r="M128" t="str">
        <f t="shared" si="16"/>
        <v>1</v>
      </c>
      <c r="O128" t="str">
        <f t="shared" si="20"/>
        <v>1 </v>
      </c>
      <c r="P128">
        <v>21.95</v>
      </c>
      <c r="Q128" t="s">
        <v>25</v>
      </c>
    </row>
    <row r="129" spans="1:17" ht="12.75">
      <c r="A129" t="s">
        <v>17</v>
      </c>
      <c r="B129" t="s">
        <v>18</v>
      </c>
      <c r="C129" t="s">
        <v>273</v>
      </c>
      <c r="D129" t="str">
        <f>CONCATENATE("0040038049","")</f>
        <v>0040038049</v>
      </c>
      <c r="E129" t="str">
        <f>CONCATENATE("0020417001000       ","")</f>
        <v>0020417001000       </v>
      </c>
      <c r="F129" t="str">
        <f>CONCATENATE("607054571","")</f>
        <v>607054571</v>
      </c>
      <c r="G129" t="s">
        <v>293</v>
      </c>
      <c r="H129" t="s">
        <v>294</v>
      </c>
      <c r="I129" t="s">
        <v>295</v>
      </c>
      <c r="J129" t="str">
        <f t="shared" si="19"/>
        <v>080508</v>
      </c>
      <c r="K129" t="s">
        <v>23</v>
      </c>
      <c r="L129" t="s">
        <v>24</v>
      </c>
      <c r="M129" t="str">
        <f t="shared" si="16"/>
        <v>1</v>
      </c>
      <c r="O129" t="str">
        <f>CONCATENATE("2 ","")</f>
        <v>2 </v>
      </c>
      <c r="P129">
        <v>23.05</v>
      </c>
      <c r="Q129" t="s">
        <v>25</v>
      </c>
    </row>
    <row r="130" spans="1:17" ht="12.75">
      <c r="A130" t="s">
        <v>17</v>
      </c>
      <c r="B130" t="s">
        <v>18</v>
      </c>
      <c r="C130" t="s">
        <v>273</v>
      </c>
      <c r="D130" t="str">
        <f>CONCATENATE("0040038050","")</f>
        <v>0040038050</v>
      </c>
      <c r="E130" t="str">
        <f>CONCATENATE("0020417002080       ","")</f>
        <v>0020417002080       </v>
      </c>
      <c r="F130" t="str">
        <f>CONCATENATE("607054718","")</f>
        <v>607054718</v>
      </c>
      <c r="G130" t="s">
        <v>293</v>
      </c>
      <c r="H130" t="s">
        <v>296</v>
      </c>
      <c r="I130" t="s">
        <v>297</v>
      </c>
      <c r="J130" t="str">
        <f t="shared" si="19"/>
        <v>080508</v>
      </c>
      <c r="K130" t="s">
        <v>23</v>
      </c>
      <c r="L130" t="s">
        <v>24</v>
      </c>
      <c r="M130" t="str">
        <f t="shared" si="16"/>
        <v>1</v>
      </c>
      <c r="O130" t="str">
        <f>CONCATENATE("2 ","")</f>
        <v>2 </v>
      </c>
      <c r="P130">
        <v>17.75</v>
      </c>
      <c r="Q130" t="s">
        <v>25</v>
      </c>
    </row>
    <row r="131" spans="1:17" ht="12.75">
      <c r="A131" t="s">
        <v>17</v>
      </c>
      <c r="B131" t="s">
        <v>18</v>
      </c>
      <c r="C131" t="s">
        <v>273</v>
      </c>
      <c r="D131" t="str">
        <f>CONCATENATE("0130016417","")</f>
        <v>0130016417</v>
      </c>
      <c r="E131" t="str">
        <f>CONCATENATE("0020425000055       ","")</f>
        <v>0020425000055       </v>
      </c>
      <c r="F131" t="str">
        <f>CONCATENATE("7240","")</f>
        <v>7240</v>
      </c>
      <c r="G131" t="s">
        <v>298</v>
      </c>
      <c r="H131" t="s">
        <v>299</v>
      </c>
      <c r="I131" t="s">
        <v>258</v>
      </c>
      <c r="J131" t="str">
        <f t="shared" si="19"/>
        <v>080508</v>
      </c>
      <c r="K131" t="s">
        <v>23</v>
      </c>
      <c r="L131" t="s">
        <v>24</v>
      </c>
      <c r="M131" t="str">
        <f t="shared" si="16"/>
        <v>1</v>
      </c>
      <c r="O131" t="str">
        <f>CONCATENATE("1 ","")</f>
        <v>1 </v>
      </c>
      <c r="P131">
        <v>138.7</v>
      </c>
      <c r="Q131" t="s">
        <v>25</v>
      </c>
    </row>
    <row r="132" spans="1:17" ht="12.75">
      <c r="A132" t="s">
        <v>17</v>
      </c>
      <c r="B132" t="s">
        <v>18</v>
      </c>
      <c r="C132" t="s">
        <v>273</v>
      </c>
      <c r="D132" t="str">
        <f>CONCATENATE("0130015125","")</f>
        <v>0130015125</v>
      </c>
      <c r="E132" t="str">
        <f>CONCATENATE("0020425000430       ","")</f>
        <v>0020425000430       </v>
      </c>
      <c r="F132" t="str">
        <f>CONCATENATE("606849042","")</f>
        <v>606849042</v>
      </c>
      <c r="G132" t="s">
        <v>298</v>
      </c>
      <c r="H132" t="s">
        <v>300</v>
      </c>
      <c r="I132" t="s">
        <v>301</v>
      </c>
      <c r="J132" t="str">
        <f t="shared" si="19"/>
        <v>080508</v>
      </c>
      <c r="K132" t="s">
        <v>23</v>
      </c>
      <c r="L132" t="s">
        <v>24</v>
      </c>
      <c r="M132" t="str">
        <f t="shared" si="16"/>
        <v>1</v>
      </c>
      <c r="O132" t="str">
        <f>CONCATENATE("1 ","")</f>
        <v>1 </v>
      </c>
      <c r="P132">
        <v>25.7</v>
      </c>
      <c r="Q132" t="s">
        <v>25</v>
      </c>
    </row>
    <row r="133" spans="1:17" ht="12.75">
      <c r="A133" t="s">
        <v>17</v>
      </c>
      <c r="B133" t="s">
        <v>18</v>
      </c>
      <c r="C133" t="s">
        <v>302</v>
      </c>
      <c r="D133" t="str">
        <f>CONCATENATE("0040027079","")</f>
        <v>0040027079</v>
      </c>
      <c r="E133" t="str">
        <f>CONCATENATE("0020428000023       ","")</f>
        <v>0020428000023       </v>
      </c>
      <c r="F133" t="str">
        <f>CONCATENATE("2120786","")</f>
        <v>2120786</v>
      </c>
      <c r="G133" t="s">
        <v>303</v>
      </c>
      <c r="H133" t="s">
        <v>304</v>
      </c>
      <c r="I133" t="s">
        <v>305</v>
      </c>
      <c r="J133" t="str">
        <f aca="true" t="shared" si="21" ref="J133:J138">CONCATENATE("080705","")</f>
        <v>080705</v>
      </c>
      <c r="K133" t="s">
        <v>23</v>
      </c>
      <c r="L133" t="s">
        <v>24</v>
      </c>
      <c r="M133" t="str">
        <f t="shared" si="16"/>
        <v>1</v>
      </c>
      <c r="O133" t="str">
        <f>CONCATENATE("3 ","")</f>
        <v>3 </v>
      </c>
      <c r="P133">
        <v>83.15</v>
      </c>
      <c r="Q133" t="s">
        <v>25</v>
      </c>
    </row>
    <row r="134" spans="1:17" ht="12.75">
      <c r="A134" t="s">
        <v>17</v>
      </c>
      <c r="B134" t="s">
        <v>18</v>
      </c>
      <c r="C134" t="s">
        <v>302</v>
      </c>
      <c r="D134" t="str">
        <f>CONCATENATE("0040036553","")</f>
        <v>0040036553</v>
      </c>
      <c r="E134" t="str">
        <f>CONCATENATE("0020429000870       ","")</f>
        <v>0020429000870       </v>
      </c>
      <c r="F134" t="str">
        <f>CONCATENATE("606590277","")</f>
        <v>606590277</v>
      </c>
      <c r="G134" t="s">
        <v>306</v>
      </c>
      <c r="H134" t="s">
        <v>307</v>
      </c>
      <c r="I134" t="s">
        <v>308</v>
      </c>
      <c r="J134" t="str">
        <f t="shared" si="21"/>
        <v>080705</v>
      </c>
      <c r="K134" t="s">
        <v>23</v>
      </c>
      <c r="L134" t="s">
        <v>24</v>
      </c>
      <c r="M134" t="str">
        <f t="shared" si="16"/>
        <v>1</v>
      </c>
      <c r="O134" t="str">
        <f aca="true" t="shared" si="22" ref="O134:O167">CONCATENATE("1 ","")</f>
        <v>1 </v>
      </c>
      <c r="P134">
        <v>164.85</v>
      </c>
      <c r="Q134" t="s">
        <v>25</v>
      </c>
    </row>
    <row r="135" spans="1:17" ht="12.75">
      <c r="A135" t="s">
        <v>17</v>
      </c>
      <c r="B135" t="s">
        <v>18</v>
      </c>
      <c r="C135" t="s">
        <v>302</v>
      </c>
      <c r="D135" t="str">
        <f>CONCATENATE("0130015903","")</f>
        <v>0130015903</v>
      </c>
      <c r="E135" t="str">
        <f>CONCATENATE("0020430000220       ","")</f>
        <v>0020430000220       </v>
      </c>
      <c r="F135" t="str">
        <f>CONCATENATE("607293989","")</f>
        <v>607293989</v>
      </c>
      <c r="G135" t="s">
        <v>309</v>
      </c>
      <c r="H135" t="s">
        <v>310</v>
      </c>
      <c r="I135" t="s">
        <v>311</v>
      </c>
      <c r="J135" t="str">
        <f t="shared" si="21"/>
        <v>080705</v>
      </c>
      <c r="K135" t="s">
        <v>23</v>
      </c>
      <c r="L135" t="s">
        <v>24</v>
      </c>
      <c r="M135" t="str">
        <f t="shared" si="16"/>
        <v>1</v>
      </c>
      <c r="O135" t="str">
        <f t="shared" si="22"/>
        <v>1 </v>
      </c>
      <c r="P135">
        <v>9.95</v>
      </c>
      <c r="Q135" t="s">
        <v>25</v>
      </c>
    </row>
    <row r="136" spans="1:17" ht="12.75">
      <c r="A136" t="s">
        <v>17</v>
      </c>
      <c r="B136" t="s">
        <v>18</v>
      </c>
      <c r="C136" t="s">
        <v>302</v>
      </c>
      <c r="D136" t="str">
        <f>CONCATENATE("0040026297","")</f>
        <v>0040026297</v>
      </c>
      <c r="E136" t="str">
        <f>CONCATENATE("0020430000241       ","")</f>
        <v>0020430000241       </v>
      </c>
      <c r="F136" t="str">
        <f>CONCATENATE("607293972","")</f>
        <v>607293972</v>
      </c>
      <c r="G136" t="s">
        <v>309</v>
      </c>
      <c r="H136" t="s">
        <v>312</v>
      </c>
      <c r="I136" t="s">
        <v>313</v>
      </c>
      <c r="J136" t="str">
        <f t="shared" si="21"/>
        <v>080705</v>
      </c>
      <c r="K136" t="s">
        <v>23</v>
      </c>
      <c r="L136" t="s">
        <v>24</v>
      </c>
      <c r="M136" t="str">
        <f t="shared" si="16"/>
        <v>1</v>
      </c>
      <c r="O136" t="str">
        <f t="shared" si="22"/>
        <v>1 </v>
      </c>
      <c r="P136">
        <v>12.7</v>
      </c>
      <c r="Q136" t="s">
        <v>25</v>
      </c>
    </row>
    <row r="137" spans="1:17" ht="12.75">
      <c r="A137" t="s">
        <v>17</v>
      </c>
      <c r="B137" t="s">
        <v>18</v>
      </c>
      <c r="C137" t="s">
        <v>302</v>
      </c>
      <c r="D137" t="str">
        <f>CONCATENATE("0130015941","")</f>
        <v>0130015941</v>
      </c>
      <c r="E137" t="str">
        <f>CONCATENATE("0020430000630       ","")</f>
        <v>0020430000630       </v>
      </c>
      <c r="F137" t="str">
        <f>CONCATENATE("606813101","")</f>
        <v>606813101</v>
      </c>
      <c r="G137" t="s">
        <v>309</v>
      </c>
      <c r="H137" t="s">
        <v>314</v>
      </c>
      <c r="I137" t="s">
        <v>311</v>
      </c>
      <c r="J137" t="str">
        <f t="shared" si="21"/>
        <v>080705</v>
      </c>
      <c r="K137" t="s">
        <v>23</v>
      </c>
      <c r="L137" t="s">
        <v>24</v>
      </c>
      <c r="M137" t="str">
        <f t="shared" si="16"/>
        <v>1</v>
      </c>
      <c r="O137" t="str">
        <f t="shared" si="22"/>
        <v>1 </v>
      </c>
      <c r="P137">
        <v>16.25</v>
      </c>
      <c r="Q137" t="s">
        <v>25</v>
      </c>
    </row>
    <row r="138" spans="1:17" ht="12.75">
      <c r="A138" t="s">
        <v>17</v>
      </c>
      <c r="B138" t="s">
        <v>18</v>
      </c>
      <c r="C138" t="s">
        <v>302</v>
      </c>
      <c r="D138" t="str">
        <f>CONCATENATE("0130015944","")</f>
        <v>0130015944</v>
      </c>
      <c r="E138" t="str">
        <f>CONCATENATE("0020430000660       ","")</f>
        <v>0020430000660       </v>
      </c>
      <c r="F138" t="str">
        <f>CONCATENATE("605087107","")</f>
        <v>605087107</v>
      </c>
      <c r="G138" t="s">
        <v>309</v>
      </c>
      <c r="H138" t="s">
        <v>315</v>
      </c>
      <c r="I138" t="s">
        <v>311</v>
      </c>
      <c r="J138" t="str">
        <f t="shared" si="21"/>
        <v>080705</v>
      </c>
      <c r="K138" t="s">
        <v>23</v>
      </c>
      <c r="L138" t="s">
        <v>24</v>
      </c>
      <c r="M138" t="str">
        <f t="shared" si="16"/>
        <v>1</v>
      </c>
      <c r="O138" t="str">
        <f t="shared" si="22"/>
        <v>1 </v>
      </c>
      <c r="P138">
        <v>15.85</v>
      </c>
      <c r="Q138" t="s">
        <v>25</v>
      </c>
    </row>
    <row r="139" spans="1:17" ht="12.75">
      <c r="A139" t="s">
        <v>17</v>
      </c>
      <c r="B139" t="s">
        <v>18</v>
      </c>
      <c r="C139" t="s">
        <v>316</v>
      </c>
      <c r="D139" t="str">
        <f>CONCATENATE("0130001095","")</f>
        <v>0130001095</v>
      </c>
      <c r="E139" t="str">
        <f>CONCATENATE("0020501001950       ","")</f>
        <v>0020501001950       </v>
      </c>
      <c r="F139" t="str">
        <f>CONCATENATE("605282224","")</f>
        <v>605282224</v>
      </c>
      <c r="G139" t="s">
        <v>317</v>
      </c>
      <c r="H139" t="s">
        <v>318</v>
      </c>
      <c r="I139" t="s">
        <v>319</v>
      </c>
      <c r="J139" t="str">
        <f aca="true" t="shared" si="23" ref="J139:J170">CONCATENATE("080205","")</f>
        <v>080205</v>
      </c>
      <c r="K139" t="s">
        <v>23</v>
      </c>
      <c r="L139" t="s">
        <v>24</v>
      </c>
      <c r="M139" t="str">
        <f aca="true" t="shared" si="24" ref="M139:M159">CONCATENATE("1","")</f>
        <v>1</v>
      </c>
      <c r="O139" t="str">
        <f t="shared" si="22"/>
        <v>1 </v>
      </c>
      <c r="P139">
        <v>23.25</v>
      </c>
      <c r="Q139" t="s">
        <v>25</v>
      </c>
    </row>
    <row r="140" spans="1:17" ht="12.75">
      <c r="A140" t="s">
        <v>17</v>
      </c>
      <c r="B140" t="s">
        <v>18</v>
      </c>
      <c r="C140" t="s">
        <v>316</v>
      </c>
      <c r="D140" t="str">
        <f>CONCATENATE("0130009968","")</f>
        <v>0130009968</v>
      </c>
      <c r="E140" t="str">
        <f>CONCATENATE("0020501002035       ","")</f>
        <v>0020501002035       </v>
      </c>
      <c r="F140" t="str">
        <f>CONCATENATE("0606030693","")</f>
        <v>0606030693</v>
      </c>
      <c r="G140" t="s">
        <v>317</v>
      </c>
      <c r="H140" t="s">
        <v>320</v>
      </c>
      <c r="I140" t="s">
        <v>321</v>
      </c>
      <c r="J140" t="str">
        <f t="shared" si="23"/>
        <v>080205</v>
      </c>
      <c r="K140" t="s">
        <v>23</v>
      </c>
      <c r="L140" t="s">
        <v>24</v>
      </c>
      <c r="M140" t="str">
        <f t="shared" si="24"/>
        <v>1</v>
      </c>
      <c r="O140" t="str">
        <f t="shared" si="22"/>
        <v>1 </v>
      </c>
      <c r="P140">
        <v>16.4</v>
      </c>
      <c r="Q140" t="s">
        <v>25</v>
      </c>
    </row>
    <row r="141" spans="1:17" ht="12.75">
      <c r="A141" t="s">
        <v>17</v>
      </c>
      <c r="B141" t="s">
        <v>18</v>
      </c>
      <c r="C141" t="s">
        <v>316</v>
      </c>
      <c r="D141" t="str">
        <f>CONCATENATE("0130009014","")</f>
        <v>0130009014</v>
      </c>
      <c r="E141" t="str">
        <f>CONCATENATE("0020501002193       ","")</f>
        <v>0020501002193       </v>
      </c>
      <c r="F141" t="str">
        <f>CONCATENATE("2182496","")</f>
        <v>2182496</v>
      </c>
      <c r="G141" t="s">
        <v>317</v>
      </c>
      <c r="H141" t="s">
        <v>322</v>
      </c>
      <c r="I141" t="s">
        <v>323</v>
      </c>
      <c r="J141" t="str">
        <f t="shared" si="23"/>
        <v>080205</v>
      </c>
      <c r="K141" t="s">
        <v>23</v>
      </c>
      <c r="L141" t="s">
        <v>24</v>
      </c>
      <c r="M141" t="str">
        <f t="shared" si="24"/>
        <v>1</v>
      </c>
      <c r="O141" t="str">
        <f t="shared" si="22"/>
        <v>1 </v>
      </c>
      <c r="P141">
        <v>33.1</v>
      </c>
      <c r="Q141" t="s">
        <v>25</v>
      </c>
    </row>
    <row r="142" spans="1:17" ht="12.75">
      <c r="A142" t="s">
        <v>17</v>
      </c>
      <c r="B142" t="s">
        <v>18</v>
      </c>
      <c r="C142" t="s">
        <v>316</v>
      </c>
      <c r="D142" t="str">
        <f>CONCATENATE("0130001134","")</f>
        <v>0130001134</v>
      </c>
      <c r="E142" t="str">
        <f>CONCATENATE("0020501002370       ","")</f>
        <v>0020501002370       </v>
      </c>
      <c r="F142" t="str">
        <f>CONCATENATE("605566543","")</f>
        <v>605566543</v>
      </c>
      <c r="G142" t="s">
        <v>317</v>
      </c>
      <c r="H142" t="s">
        <v>324</v>
      </c>
      <c r="I142" t="s">
        <v>325</v>
      </c>
      <c r="J142" t="str">
        <f t="shared" si="23"/>
        <v>080205</v>
      </c>
      <c r="K142" t="s">
        <v>23</v>
      </c>
      <c r="L142" t="s">
        <v>24</v>
      </c>
      <c r="M142" t="str">
        <f t="shared" si="24"/>
        <v>1</v>
      </c>
      <c r="O142" t="str">
        <f t="shared" si="22"/>
        <v>1 </v>
      </c>
      <c r="P142">
        <v>225.6</v>
      </c>
      <c r="Q142" t="s">
        <v>25</v>
      </c>
    </row>
    <row r="143" spans="1:17" ht="12.75">
      <c r="A143" t="s">
        <v>17</v>
      </c>
      <c r="B143" t="s">
        <v>18</v>
      </c>
      <c r="C143" t="s">
        <v>316</v>
      </c>
      <c r="D143" t="str">
        <f>CONCATENATE("0130021362","")</f>
        <v>0130021362</v>
      </c>
      <c r="E143" t="str">
        <f>CONCATENATE("0020501002430       ","")</f>
        <v>0020501002430       </v>
      </c>
      <c r="F143" t="str">
        <f>CONCATENATE("1937509","")</f>
        <v>1937509</v>
      </c>
      <c r="G143" t="s">
        <v>317</v>
      </c>
      <c r="H143" t="s">
        <v>326</v>
      </c>
      <c r="I143" t="s">
        <v>327</v>
      </c>
      <c r="J143" t="str">
        <f t="shared" si="23"/>
        <v>080205</v>
      </c>
      <c r="K143" t="s">
        <v>23</v>
      </c>
      <c r="L143" t="s">
        <v>24</v>
      </c>
      <c r="M143" t="str">
        <f t="shared" si="24"/>
        <v>1</v>
      </c>
      <c r="O143" t="str">
        <f t="shared" si="22"/>
        <v>1 </v>
      </c>
      <c r="P143">
        <v>12.7</v>
      </c>
      <c r="Q143" t="s">
        <v>25</v>
      </c>
    </row>
    <row r="144" spans="1:17" ht="12.75">
      <c r="A144" t="s">
        <v>17</v>
      </c>
      <c r="B144" t="s">
        <v>18</v>
      </c>
      <c r="C144" t="s">
        <v>316</v>
      </c>
      <c r="D144" t="str">
        <f>CONCATENATE("0130016086","")</f>
        <v>0130016086</v>
      </c>
      <c r="E144" t="str">
        <f>CONCATENATE("0020501002442       ","")</f>
        <v>0020501002442       </v>
      </c>
      <c r="F144" t="str">
        <f>CONCATENATE("605285868","")</f>
        <v>605285868</v>
      </c>
      <c r="G144" t="s">
        <v>317</v>
      </c>
      <c r="H144" t="s">
        <v>328</v>
      </c>
      <c r="I144" t="s">
        <v>329</v>
      </c>
      <c r="J144" t="str">
        <f t="shared" si="23"/>
        <v>080205</v>
      </c>
      <c r="K144" t="s">
        <v>23</v>
      </c>
      <c r="L144" t="s">
        <v>24</v>
      </c>
      <c r="M144" t="str">
        <f t="shared" si="24"/>
        <v>1</v>
      </c>
      <c r="O144" t="str">
        <f t="shared" si="22"/>
        <v>1 </v>
      </c>
      <c r="P144">
        <v>14.3</v>
      </c>
      <c r="Q144" t="s">
        <v>25</v>
      </c>
    </row>
    <row r="145" spans="1:17" ht="12.75">
      <c r="A145" t="s">
        <v>17</v>
      </c>
      <c r="B145" t="s">
        <v>18</v>
      </c>
      <c r="C145" t="s">
        <v>316</v>
      </c>
      <c r="D145" t="str">
        <f>CONCATENATE("0130016106","")</f>
        <v>0130016106</v>
      </c>
      <c r="E145" t="str">
        <f>CONCATENATE("0020501002448       ","")</f>
        <v>0020501002448       </v>
      </c>
      <c r="F145" t="str">
        <f>CONCATENATE("605287934","")</f>
        <v>605287934</v>
      </c>
      <c r="G145" t="s">
        <v>317</v>
      </c>
      <c r="H145" t="s">
        <v>330</v>
      </c>
      <c r="I145" t="s">
        <v>331</v>
      </c>
      <c r="J145" t="str">
        <f t="shared" si="23"/>
        <v>080205</v>
      </c>
      <c r="K145" t="s">
        <v>23</v>
      </c>
      <c r="L145" t="s">
        <v>24</v>
      </c>
      <c r="M145" t="str">
        <f t="shared" si="24"/>
        <v>1</v>
      </c>
      <c r="O145" t="str">
        <f t="shared" si="22"/>
        <v>1 </v>
      </c>
      <c r="P145">
        <v>51.85</v>
      </c>
      <c r="Q145" t="s">
        <v>25</v>
      </c>
    </row>
    <row r="146" spans="1:17" ht="12.75">
      <c r="A146" t="s">
        <v>17</v>
      </c>
      <c r="B146" t="s">
        <v>18</v>
      </c>
      <c r="C146" t="s">
        <v>316</v>
      </c>
      <c r="D146" t="str">
        <f>CONCATENATE("0130009880","")</f>
        <v>0130009880</v>
      </c>
      <c r="E146" t="str">
        <f>CONCATENATE("0020502003055       ","")</f>
        <v>0020502003055       </v>
      </c>
      <c r="F146" t="str">
        <f>CONCATENATE("605554943","")</f>
        <v>605554943</v>
      </c>
      <c r="G146" t="s">
        <v>332</v>
      </c>
      <c r="H146" t="s">
        <v>333</v>
      </c>
      <c r="I146" t="s">
        <v>334</v>
      </c>
      <c r="J146" t="str">
        <f t="shared" si="23"/>
        <v>080205</v>
      </c>
      <c r="K146" t="s">
        <v>23</v>
      </c>
      <c r="L146" t="s">
        <v>24</v>
      </c>
      <c r="M146" t="str">
        <f t="shared" si="24"/>
        <v>1</v>
      </c>
      <c r="O146" t="str">
        <f t="shared" si="22"/>
        <v>1 </v>
      </c>
      <c r="P146">
        <v>15.6</v>
      </c>
      <c r="Q146" t="s">
        <v>25</v>
      </c>
    </row>
    <row r="147" spans="1:17" ht="12.75">
      <c r="A147" t="s">
        <v>17</v>
      </c>
      <c r="B147" t="s">
        <v>18</v>
      </c>
      <c r="C147" t="s">
        <v>316</v>
      </c>
      <c r="D147" t="str">
        <f>CONCATENATE("0130001173","")</f>
        <v>0130001173</v>
      </c>
      <c r="E147" t="str">
        <f>CONCATENATE("0020502003060       ","")</f>
        <v>0020502003060       </v>
      </c>
      <c r="F147" t="str">
        <f>CONCATENATE("605277783","")</f>
        <v>605277783</v>
      </c>
      <c r="G147" t="s">
        <v>332</v>
      </c>
      <c r="H147" t="s">
        <v>335</v>
      </c>
      <c r="I147" t="s">
        <v>336</v>
      </c>
      <c r="J147" t="str">
        <f t="shared" si="23"/>
        <v>080205</v>
      </c>
      <c r="K147" t="s">
        <v>23</v>
      </c>
      <c r="L147" t="s">
        <v>24</v>
      </c>
      <c r="M147" t="str">
        <f t="shared" si="24"/>
        <v>1</v>
      </c>
      <c r="O147" t="str">
        <f t="shared" si="22"/>
        <v>1 </v>
      </c>
      <c r="P147">
        <v>17.9</v>
      </c>
      <c r="Q147" t="s">
        <v>25</v>
      </c>
    </row>
    <row r="148" spans="1:17" ht="12.75">
      <c r="A148" t="s">
        <v>17</v>
      </c>
      <c r="B148" t="s">
        <v>18</v>
      </c>
      <c r="C148" t="s">
        <v>316</v>
      </c>
      <c r="D148" t="str">
        <f>CONCATENATE("0130001235","")</f>
        <v>0130001235</v>
      </c>
      <c r="E148" t="str">
        <f>CONCATENATE("0020502003830       ","")</f>
        <v>0020502003830       </v>
      </c>
      <c r="F148" t="str">
        <f>CONCATENATE("605284087","")</f>
        <v>605284087</v>
      </c>
      <c r="G148" t="s">
        <v>332</v>
      </c>
      <c r="H148" t="s">
        <v>337</v>
      </c>
      <c r="I148" t="s">
        <v>338</v>
      </c>
      <c r="J148" t="str">
        <f t="shared" si="23"/>
        <v>080205</v>
      </c>
      <c r="K148" t="s">
        <v>23</v>
      </c>
      <c r="L148" t="s">
        <v>24</v>
      </c>
      <c r="M148" t="str">
        <f t="shared" si="24"/>
        <v>1</v>
      </c>
      <c r="O148" t="str">
        <f t="shared" si="22"/>
        <v>1 </v>
      </c>
      <c r="P148">
        <v>12.8</v>
      </c>
      <c r="Q148" t="s">
        <v>25</v>
      </c>
    </row>
    <row r="149" spans="1:17" ht="12.75">
      <c r="A149" t="s">
        <v>17</v>
      </c>
      <c r="B149" t="s">
        <v>18</v>
      </c>
      <c r="C149" t="s">
        <v>316</v>
      </c>
      <c r="D149" t="str">
        <f>CONCATENATE("0040033997","")</f>
        <v>0040033997</v>
      </c>
      <c r="E149" t="str">
        <f>CONCATENATE("0020502003992       ","")</f>
        <v>0020502003992       </v>
      </c>
      <c r="F149" t="str">
        <f>CONCATENATE("606669074","")</f>
        <v>606669074</v>
      </c>
      <c r="G149" t="s">
        <v>339</v>
      </c>
      <c r="H149" t="s">
        <v>340</v>
      </c>
      <c r="I149" t="s">
        <v>341</v>
      </c>
      <c r="J149" t="str">
        <f t="shared" si="23"/>
        <v>080205</v>
      </c>
      <c r="K149" t="s">
        <v>23</v>
      </c>
      <c r="L149" t="s">
        <v>24</v>
      </c>
      <c r="M149" t="str">
        <f t="shared" si="24"/>
        <v>1</v>
      </c>
      <c r="O149" t="str">
        <f t="shared" si="22"/>
        <v>1 </v>
      </c>
      <c r="P149">
        <v>14.7</v>
      </c>
      <c r="Q149" t="s">
        <v>25</v>
      </c>
    </row>
    <row r="150" spans="1:17" ht="12.75">
      <c r="A150" t="s">
        <v>17</v>
      </c>
      <c r="B150" t="s">
        <v>18</v>
      </c>
      <c r="C150" t="s">
        <v>316</v>
      </c>
      <c r="D150" t="str">
        <f>CONCATENATE("0130020722","")</f>
        <v>0130020722</v>
      </c>
      <c r="E150" t="str">
        <f>CONCATENATE("0020502004018       ","")</f>
        <v>0020502004018       </v>
      </c>
      <c r="F150" t="str">
        <f>CONCATENATE("1672297","")</f>
        <v>1672297</v>
      </c>
      <c r="G150" t="s">
        <v>332</v>
      </c>
      <c r="H150" t="s">
        <v>342</v>
      </c>
      <c r="I150" t="s">
        <v>343</v>
      </c>
      <c r="J150" t="str">
        <f t="shared" si="23"/>
        <v>080205</v>
      </c>
      <c r="K150" t="s">
        <v>23</v>
      </c>
      <c r="L150" t="s">
        <v>24</v>
      </c>
      <c r="M150" t="str">
        <f t="shared" si="24"/>
        <v>1</v>
      </c>
      <c r="O150" t="str">
        <f t="shared" si="22"/>
        <v>1 </v>
      </c>
      <c r="P150">
        <v>21.55</v>
      </c>
      <c r="Q150" t="s">
        <v>25</v>
      </c>
    </row>
    <row r="151" spans="1:17" ht="12.75">
      <c r="A151" t="s">
        <v>17</v>
      </c>
      <c r="B151" t="s">
        <v>18</v>
      </c>
      <c r="C151" t="s">
        <v>316</v>
      </c>
      <c r="D151" t="str">
        <f>CONCATENATE("0130001274","")</f>
        <v>0130001274</v>
      </c>
      <c r="E151" t="str">
        <f>CONCATENATE("0020503000190       ","")</f>
        <v>0020503000190       </v>
      </c>
      <c r="F151" t="str">
        <f>CONCATENATE("2182926","")</f>
        <v>2182926</v>
      </c>
      <c r="G151" t="s">
        <v>344</v>
      </c>
      <c r="H151" t="s">
        <v>345</v>
      </c>
      <c r="I151" t="s">
        <v>346</v>
      </c>
      <c r="J151" t="str">
        <f t="shared" si="23"/>
        <v>080205</v>
      </c>
      <c r="K151" t="s">
        <v>23</v>
      </c>
      <c r="L151" t="s">
        <v>24</v>
      </c>
      <c r="M151" t="str">
        <f t="shared" si="24"/>
        <v>1</v>
      </c>
      <c r="O151" t="str">
        <f t="shared" si="22"/>
        <v>1 </v>
      </c>
      <c r="P151">
        <v>14.2</v>
      </c>
      <c r="Q151" t="s">
        <v>25</v>
      </c>
    </row>
    <row r="152" spans="1:17" ht="12.75">
      <c r="A152" t="s">
        <v>17</v>
      </c>
      <c r="B152" t="s">
        <v>18</v>
      </c>
      <c r="C152" t="s">
        <v>316</v>
      </c>
      <c r="D152" t="str">
        <f>CONCATENATE("0130015664","")</f>
        <v>0130015664</v>
      </c>
      <c r="E152" t="str">
        <f>CONCATENATE("0020503000337       ","")</f>
        <v>0020503000337       </v>
      </c>
      <c r="F152" t="str">
        <f>CONCATENATE("605286937","")</f>
        <v>605286937</v>
      </c>
      <c r="G152" t="s">
        <v>344</v>
      </c>
      <c r="H152" t="s">
        <v>347</v>
      </c>
      <c r="I152" t="s">
        <v>258</v>
      </c>
      <c r="J152" t="str">
        <f t="shared" si="23"/>
        <v>080205</v>
      </c>
      <c r="K152" t="s">
        <v>23</v>
      </c>
      <c r="L152" t="s">
        <v>24</v>
      </c>
      <c r="M152" t="str">
        <f t="shared" si="24"/>
        <v>1</v>
      </c>
      <c r="O152" t="str">
        <f t="shared" si="22"/>
        <v>1 </v>
      </c>
      <c r="P152">
        <v>33.05</v>
      </c>
      <c r="Q152" t="s">
        <v>25</v>
      </c>
    </row>
    <row r="153" spans="1:17" ht="12.75">
      <c r="A153" t="s">
        <v>17</v>
      </c>
      <c r="B153" t="s">
        <v>18</v>
      </c>
      <c r="C153" t="s">
        <v>316</v>
      </c>
      <c r="D153" t="str">
        <f>CONCATENATE("0130007432","")</f>
        <v>0130007432</v>
      </c>
      <c r="E153" t="str">
        <f>CONCATENATE("0020503000645       ","")</f>
        <v>0020503000645       </v>
      </c>
      <c r="F153" t="str">
        <f>CONCATENATE("605282227","")</f>
        <v>605282227</v>
      </c>
      <c r="G153" t="s">
        <v>332</v>
      </c>
      <c r="H153" t="s">
        <v>348</v>
      </c>
      <c r="I153" t="s">
        <v>349</v>
      </c>
      <c r="J153" t="str">
        <f t="shared" si="23"/>
        <v>080205</v>
      </c>
      <c r="K153" t="s">
        <v>23</v>
      </c>
      <c r="L153" t="s">
        <v>24</v>
      </c>
      <c r="M153" t="str">
        <f t="shared" si="24"/>
        <v>1</v>
      </c>
      <c r="O153" t="str">
        <f t="shared" si="22"/>
        <v>1 </v>
      </c>
      <c r="P153">
        <v>90.1</v>
      </c>
      <c r="Q153" t="s">
        <v>25</v>
      </c>
    </row>
    <row r="154" spans="1:17" ht="12.75">
      <c r="A154" t="s">
        <v>17</v>
      </c>
      <c r="B154" t="s">
        <v>18</v>
      </c>
      <c r="C154" t="s">
        <v>316</v>
      </c>
      <c r="D154" t="str">
        <f>CONCATENATE("0040031357","")</f>
        <v>0040031357</v>
      </c>
      <c r="E154" t="str">
        <f>CONCATENATE("0020503001346       ","")</f>
        <v>0020503001346       </v>
      </c>
      <c r="F154" t="str">
        <f>CONCATENATE("606601846","")</f>
        <v>606601846</v>
      </c>
      <c r="G154" t="s">
        <v>339</v>
      </c>
      <c r="H154" t="s">
        <v>350</v>
      </c>
      <c r="I154" t="s">
        <v>351</v>
      </c>
      <c r="J154" t="str">
        <f t="shared" si="23"/>
        <v>080205</v>
      </c>
      <c r="K154" t="s">
        <v>23</v>
      </c>
      <c r="L154" t="s">
        <v>24</v>
      </c>
      <c r="M154" t="str">
        <f t="shared" si="24"/>
        <v>1</v>
      </c>
      <c r="O154" t="str">
        <f t="shared" si="22"/>
        <v>1 </v>
      </c>
      <c r="P154">
        <v>25.6</v>
      </c>
      <c r="Q154" t="s">
        <v>25</v>
      </c>
    </row>
    <row r="155" spans="1:17" ht="12.75">
      <c r="A155" t="s">
        <v>17</v>
      </c>
      <c r="B155" t="s">
        <v>18</v>
      </c>
      <c r="C155" t="s">
        <v>316</v>
      </c>
      <c r="D155" t="str">
        <f>CONCATENATE("0130008120","")</f>
        <v>0130008120</v>
      </c>
      <c r="E155" t="str">
        <f>CONCATENATE("0020503001400       ","")</f>
        <v>0020503001400       </v>
      </c>
      <c r="F155" t="str">
        <f>CONCATENATE("605274952","")</f>
        <v>605274952</v>
      </c>
      <c r="G155" t="s">
        <v>339</v>
      </c>
      <c r="H155" t="s">
        <v>352</v>
      </c>
      <c r="I155" t="s">
        <v>353</v>
      </c>
      <c r="J155" t="str">
        <f t="shared" si="23"/>
        <v>080205</v>
      </c>
      <c r="K155" t="s">
        <v>23</v>
      </c>
      <c r="L155" t="s">
        <v>24</v>
      </c>
      <c r="M155" t="str">
        <f t="shared" si="24"/>
        <v>1</v>
      </c>
      <c r="O155" t="str">
        <f t="shared" si="22"/>
        <v>1 </v>
      </c>
      <c r="P155">
        <v>13.45</v>
      </c>
      <c r="Q155" t="s">
        <v>25</v>
      </c>
    </row>
    <row r="156" spans="1:17" ht="12.75">
      <c r="A156" t="s">
        <v>17</v>
      </c>
      <c r="B156" t="s">
        <v>18</v>
      </c>
      <c r="C156" t="s">
        <v>316</v>
      </c>
      <c r="D156" t="str">
        <f>CONCATENATE("0130011192","")</f>
        <v>0130011192</v>
      </c>
      <c r="E156" t="str">
        <f>CONCATENATE("0020503001405       ","")</f>
        <v>0020503001405       </v>
      </c>
      <c r="F156" t="str">
        <f>CONCATENATE("0605770993","")</f>
        <v>0605770993</v>
      </c>
      <c r="G156" t="s">
        <v>344</v>
      </c>
      <c r="H156" t="s">
        <v>354</v>
      </c>
      <c r="I156" t="s">
        <v>355</v>
      </c>
      <c r="J156" t="str">
        <f t="shared" si="23"/>
        <v>080205</v>
      </c>
      <c r="K156" t="s">
        <v>23</v>
      </c>
      <c r="L156" t="s">
        <v>24</v>
      </c>
      <c r="M156" t="str">
        <f t="shared" si="24"/>
        <v>1</v>
      </c>
      <c r="O156" t="str">
        <f t="shared" si="22"/>
        <v>1 </v>
      </c>
      <c r="P156">
        <v>28.5</v>
      </c>
      <c r="Q156" t="s">
        <v>25</v>
      </c>
    </row>
    <row r="157" spans="1:17" ht="12.75">
      <c r="A157" t="s">
        <v>17</v>
      </c>
      <c r="B157" t="s">
        <v>18</v>
      </c>
      <c r="C157" t="s">
        <v>316</v>
      </c>
      <c r="D157" t="str">
        <f>CONCATENATE("0130001342","")</f>
        <v>0130001342</v>
      </c>
      <c r="E157" t="str">
        <f>CONCATENATE("0020503001870       ","")</f>
        <v>0020503001870       </v>
      </c>
      <c r="F157" t="str">
        <f>CONCATENATE("605556433","")</f>
        <v>605556433</v>
      </c>
      <c r="G157" t="s">
        <v>339</v>
      </c>
      <c r="H157" t="s">
        <v>356</v>
      </c>
      <c r="I157" t="s">
        <v>357</v>
      </c>
      <c r="J157" t="str">
        <f t="shared" si="23"/>
        <v>080205</v>
      </c>
      <c r="K157" t="s">
        <v>23</v>
      </c>
      <c r="L157" t="s">
        <v>24</v>
      </c>
      <c r="M157" t="str">
        <f t="shared" si="24"/>
        <v>1</v>
      </c>
      <c r="O157" t="str">
        <f t="shared" si="22"/>
        <v>1 </v>
      </c>
      <c r="P157">
        <v>89.05</v>
      </c>
      <c r="Q157" t="s">
        <v>25</v>
      </c>
    </row>
    <row r="158" spans="1:17" ht="12.75">
      <c r="A158" t="s">
        <v>17</v>
      </c>
      <c r="B158" t="s">
        <v>18</v>
      </c>
      <c r="C158" t="s">
        <v>316</v>
      </c>
      <c r="D158" t="str">
        <f>CONCATENATE("0130015442","")</f>
        <v>0130015442</v>
      </c>
      <c r="E158" t="str">
        <f>CONCATENATE("0020503001958       ","")</f>
        <v>0020503001958       </v>
      </c>
      <c r="F158" t="str">
        <f>CONCATENATE("605289036","")</f>
        <v>605289036</v>
      </c>
      <c r="G158" t="s">
        <v>339</v>
      </c>
      <c r="H158" t="s">
        <v>358</v>
      </c>
      <c r="I158" t="s">
        <v>359</v>
      </c>
      <c r="J158" t="str">
        <f t="shared" si="23"/>
        <v>080205</v>
      </c>
      <c r="K158" t="s">
        <v>23</v>
      </c>
      <c r="L158" t="s">
        <v>24</v>
      </c>
      <c r="M158" t="str">
        <f t="shared" si="24"/>
        <v>1</v>
      </c>
      <c r="O158" t="str">
        <f t="shared" si="22"/>
        <v>1 </v>
      </c>
      <c r="P158">
        <v>42.3</v>
      </c>
      <c r="Q158" t="s">
        <v>25</v>
      </c>
    </row>
    <row r="159" spans="1:17" ht="12.75">
      <c r="A159" t="s">
        <v>17</v>
      </c>
      <c r="B159" t="s">
        <v>18</v>
      </c>
      <c r="C159" t="s">
        <v>316</v>
      </c>
      <c r="D159" t="str">
        <f>CONCATENATE("0130012236","")</f>
        <v>0130012236</v>
      </c>
      <c r="E159" t="str">
        <f>CONCATENATE("0020504001860       ","")</f>
        <v>0020504001860       </v>
      </c>
      <c r="F159" t="str">
        <f>CONCATENATE("00000291981","")</f>
        <v>00000291981</v>
      </c>
      <c r="G159" t="s">
        <v>344</v>
      </c>
      <c r="H159" t="s">
        <v>360</v>
      </c>
      <c r="I159" t="s">
        <v>361</v>
      </c>
      <c r="J159" t="str">
        <f t="shared" si="23"/>
        <v>080205</v>
      </c>
      <c r="K159" t="s">
        <v>23</v>
      </c>
      <c r="L159" t="s">
        <v>24</v>
      </c>
      <c r="M159" t="str">
        <f t="shared" si="24"/>
        <v>1</v>
      </c>
      <c r="O159" t="str">
        <f t="shared" si="22"/>
        <v>1 </v>
      </c>
      <c r="P159">
        <v>21.15</v>
      </c>
      <c r="Q159" t="s">
        <v>25</v>
      </c>
    </row>
    <row r="160" spans="1:17" ht="12.75">
      <c r="A160" t="s">
        <v>17</v>
      </c>
      <c r="B160" t="s">
        <v>18</v>
      </c>
      <c r="C160" t="s">
        <v>316</v>
      </c>
      <c r="D160" t="str">
        <f>CONCATENATE("0130009494","")</f>
        <v>0130009494</v>
      </c>
      <c r="E160" t="str">
        <f>CONCATENATE("0020504002633       ","")</f>
        <v>0020504002633       </v>
      </c>
      <c r="F160" t="str">
        <f>CONCATENATE("05344592","")</f>
        <v>05344592</v>
      </c>
      <c r="G160" t="s">
        <v>344</v>
      </c>
      <c r="H160" t="s">
        <v>362</v>
      </c>
      <c r="I160" t="s">
        <v>363</v>
      </c>
      <c r="J160" t="str">
        <f t="shared" si="23"/>
        <v>080205</v>
      </c>
      <c r="K160" t="s">
        <v>23</v>
      </c>
      <c r="L160" t="s">
        <v>24</v>
      </c>
      <c r="M160" t="str">
        <f>CONCATENATE("3","")</f>
        <v>3</v>
      </c>
      <c r="O160" t="str">
        <f t="shared" si="22"/>
        <v>1 </v>
      </c>
      <c r="P160">
        <v>172.15</v>
      </c>
      <c r="Q160" t="s">
        <v>25</v>
      </c>
    </row>
    <row r="161" spans="1:17" ht="12.75">
      <c r="A161" t="s">
        <v>17</v>
      </c>
      <c r="B161" t="s">
        <v>18</v>
      </c>
      <c r="C161" t="s">
        <v>316</v>
      </c>
      <c r="D161" t="str">
        <f>CONCATENATE("0130014437","")</f>
        <v>0130014437</v>
      </c>
      <c r="E161" t="str">
        <f>CONCATENATE("0020504002725       ","")</f>
        <v>0020504002725       </v>
      </c>
      <c r="F161" t="str">
        <f>CONCATENATE("606674848","")</f>
        <v>606674848</v>
      </c>
      <c r="G161" t="s">
        <v>344</v>
      </c>
      <c r="H161" t="s">
        <v>364</v>
      </c>
      <c r="I161" t="s">
        <v>365</v>
      </c>
      <c r="J161" t="str">
        <f t="shared" si="23"/>
        <v>080205</v>
      </c>
      <c r="K161" t="s">
        <v>23</v>
      </c>
      <c r="L161" t="s">
        <v>24</v>
      </c>
      <c r="M161" t="str">
        <f aca="true" t="shared" si="25" ref="M161:M188">CONCATENATE("1","")</f>
        <v>1</v>
      </c>
      <c r="O161" t="str">
        <f t="shared" si="22"/>
        <v>1 </v>
      </c>
      <c r="P161">
        <v>37.75</v>
      </c>
      <c r="Q161" t="s">
        <v>25</v>
      </c>
    </row>
    <row r="162" spans="1:17" ht="12.75">
      <c r="A162" t="s">
        <v>17</v>
      </c>
      <c r="B162" t="s">
        <v>18</v>
      </c>
      <c r="C162" t="s">
        <v>316</v>
      </c>
      <c r="D162" t="str">
        <f>CONCATENATE("0130012500","")</f>
        <v>0130012500</v>
      </c>
      <c r="E162" t="str">
        <f>CONCATENATE("0020504002730       ","")</f>
        <v>0020504002730       </v>
      </c>
      <c r="F162" t="str">
        <f>CONCATENATE("00000006920","")</f>
        <v>00000006920</v>
      </c>
      <c r="G162" t="s">
        <v>344</v>
      </c>
      <c r="H162" t="s">
        <v>366</v>
      </c>
      <c r="I162" t="s">
        <v>365</v>
      </c>
      <c r="J162" t="str">
        <f t="shared" si="23"/>
        <v>080205</v>
      </c>
      <c r="K162" t="s">
        <v>23</v>
      </c>
      <c r="L162" t="s">
        <v>24</v>
      </c>
      <c r="M162" t="str">
        <f t="shared" si="25"/>
        <v>1</v>
      </c>
      <c r="O162" t="str">
        <f t="shared" si="22"/>
        <v>1 </v>
      </c>
      <c r="P162">
        <v>22.95</v>
      </c>
      <c r="Q162" t="s">
        <v>25</v>
      </c>
    </row>
    <row r="163" spans="1:17" ht="12.75">
      <c r="A163" t="s">
        <v>17</v>
      </c>
      <c r="B163" t="s">
        <v>18</v>
      </c>
      <c r="C163" t="s">
        <v>316</v>
      </c>
      <c r="D163" t="str">
        <f>CONCATENATE("0130013505","")</f>
        <v>0130013505</v>
      </c>
      <c r="E163" t="str">
        <f>CONCATENATE("0020504002748       ","")</f>
        <v>0020504002748       </v>
      </c>
      <c r="F163" t="str">
        <f>CONCATENATE("606598859","")</f>
        <v>606598859</v>
      </c>
      <c r="G163" t="s">
        <v>344</v>
      </c>
      <c r="H163" t="s">
        <v>367</v>
      </c>
      <c r="I163" t="s">
        <v>365</v>
      </c>
      <c r="J163" t="str">
        <f t="shared" si="23"/>
        <v>080205</v>
      </c>
      <c r="K163" t="s">
        <v>23</v>
      </c>
      <c r="L163" t="s">
        <v>24</v>
      </c>
      <c r="M163" t="str">
        <f t="shared" si="25"/>
        <v>1</v>
      </c>
      <c r="O163" t="str">
        <f t="shared" si="22"/>
        <v>1 </v>
      </c>
      <c r="P163">
        <v>30.5</v>
      </c>
      <c r="Q163" t="s">
        <v>25</v>
      </c>
    </row>
    <row r="164" spans="1:17" ht="12.75">
      <c r="A164" t="s">
        <v>17</v>
      </c>
      <c r="B164" t="s">
        <v>18</v>
      </c>
      <c r="C164" t="s">
        <v>316</v>
      </c>
      <c r="D164" t="str">
        <f>CONCATENATE("0130001461","")</f>
        <v>0130001461</v>
      </c>
      <c r="E164" t="str">
        <f>CONCATENATE("0020504002870       ","")</f>
        <v>0020504002870       </v>
      </c>
      <c r="F164" t="str">
        <f>CONCATENATE("605554944","")</f>
        <v>605554944</v>
      </c>
      <c r="G164" t="s">
        <v>339</v>
      </c>
      <c r="H164" t="s">
        <v>368</v>
      </c>
      <c r="I164" t="s">
        <v>369</v>
      </c>
      <c r="J164" t="str">
        <f t="shared" si="23"/>
        <v>080205</v>
      </c>
      <c r="K164" t="s">
        <v>23</v>
      </c>
      <c r="L164" t="s">
        <v>24</v>
      </c>
      <c r="M164" t="str">
        <f t="shared" si="25"/>
        <v>1</v>
      </c>
      <c r="O164" t="str">
        <f t="shared" si="22"/>
        <v>1 </v>
      </c>
      <c r="P164">
        <v>65.55</v>
      </c>
      <c r="Q164" t="s">
        <v>25</v>
      </c>
    </row>
    <row r="165" spans="1:17" ht="12.75">
      <c r="A165" t="s">
        <v>17</v>
      </c>
      <c r="B165" t="s">
        <v>18</v>
      </c>
      <c r="C165" t="s">
        <v>316</v>
      </c>
      <c r="D165" t="str">
        <f>CONCATENATE("0130011183","")</f>
        <v>0130011183</v>
      </c>
      <c r="E165" t="str">
        <f>CONCATENATE("0020504003010       ","")</f>
        <v>0020504003010       </v>
      </c>
      <c r="F165" t="str">
        <f>CONCATENATE("0605770990","")</f>
        <v>0605770990</v>
      </c>
      <c r="G165" t="s">
        <v>339</v>
      </c>
      <c r="H165" t="s">
        <v>370</v>
      </c>
      <c r="I165" t="s">
        <v>371</v>
      </c>
      <c r="J165" t="str">
        <f t="shared" si="23"/>
        <v>080205</v>
      </c>
      <c r="K165" t="s">
        <v>23</v>
      </c>
      <c r="L165" t="s">
        <v>24</v>
      </c>
      <c r="M165" t="str">
        <f t="shared" si="25"/>
        <v>1</v>
      </c>
      <c r="O165" t="str">
        <f t="shared" si="22"/>
        <v>1 </v>
      </c>
      <c r="P165">
        <v>356.95</v>
      </c>
      <c r="Q165" t="s">
        <v>25</v>
      </c>
    </row>
    <row r="166" spans="1:17" ht="12.75">
      <c r="A166" t="s">
        <v>17</v>
      </c>
      <c r="B166" t="s">
        <v>18</v>
      </c>
      <c r="C166" t="s">
        <v>316</v>
      </c>
      <c r="D166" t="str">
        <f>CONCATENATE("0040031195","")</f>
        <v>0040031195</v>
      </c>
      <c r="E166" t="str">
        <f>CONCATENATE("0020505002170       ","")</f>
        <v>0020505002170       </v>
      </c>
      <c r="F166" t="str">
        <f>CONCATENATE("1760227","")</f>
        <v>1760227</v>
      </c>
      <c r="G166" t="s">
        <v>372</v>
      </c>
      <c r="H166" t="s">
        <v>373</v>
      </c>
      <c r="I166" t="s">
        <v>374</v>
      </c>
      <c r="J166" t="str">
        <f t="shared" si="23"/>
        <v>080205</v>
      </c>
      <c r="K166" t="s">
        <v>23</v>
      </c>
      <c r="L166" t="s">
        <v>24</v>
      </c>
      <c r="M166" t="str">
        <f t="shared" si="25"/>
        <v>1</v>
      </c>
      <c r="O166" t="str">
        <f t="shared" si="22"/>
        <v>1 </v>
      </c>
      <c r="P166">
        <v>11.45</v>
      </c>
      <c r="Q166" t="s">
        <v>25</v>
      </c>
    </row>
    <row r="167" spans="1:17" ht="12.75">
      <c r="A167" t="s">
        <v>17</v>
      </c>
      <c r="B167" t="s">
        <v>18</v>
      </c>
      <c r="C167" t="s">
        <v>316</v>
      </c>
      <c r="D167" t="str">
        <f>CONCATENATE("0130018280","")</f>
        <v>0130018280</v>
      </c>
      <c r="E167" t="str">
        <f>CONCATENATE("0020506001010       ","")</f>
        <v>0020506001010       </v>
      </c>
      <c r="F167" t="str">
        <f>CONCATENATE("90500124","")</f>
        <v>90500124</v>
      </c>
      <c r="G167" t="s">
        <v>375</v>
      </c>
      <c r="H167" t="s">
        <v>376</v>
      </c>
      <c r="I167" t="s">
        <v>377</v>
      </c>
      <c r="J167" t="str">
        <f t="shared" si="23"/>
        <v>080205</v>
      </c>
      <c r="K167" t="s">
        <v>23</v>
      </c>
      <c r="L167" t="s">
        <v>24</v>
      </c>
      <c r="M167" t="str">
        <f t="shared" si="25"/>
        <v>1</v>
      </c>
      <c r="O167" t="str">
        <f t="shared" si="22"/>
        <v>1 </v>
      </c>
      <c r="P167">
        <v>18.1</v>
      </c>
      <c r="Q167" t="s">
        <v>25</v>
      </c>
    </row>
    <row r="168" spans="1:17" ht="12.75">
      <c r="A168" t="s">
        <v>17</v>
      </c>
      <c r="B168" t="s">
        <v>18</v>
      </c>
      <c r="C168" t="s">
        <v>316</v>
      </c>
      <c r="D168" t="str">
        <f>CONCATENATE("0040039583","")</f>
        <v>0040039583</v>
      </c>
      <c r="E168" t="str">
        <f>CONCATENATE("0020507001055       ","")</f>
        <v>0020507001055       </v>
      </c>
      <c r="F168" t="str">
        <f>CONCATENATE("606751282","")</f>
        <v>606751282</v>
      </c>
      <c r="G168" t="s">
        <v>378</v>
      </c>
      <c r="H168" t="s">
        <v>379</v>
      </c>
      <c r="I168" t="s">
        <v>380</v>
      </c>
      <c r="J168" t="str">
        <f t="shared" si="23"/>
        <v>080205</v>
      </c>
      <c r="K168" t="s">
        <v>23</v>
      </c>
      <c r="L168" t="s">
        <v>24</v>
      </c>
      <c r="M168" t="str">
        <f t="shared" si="25"/>
        <v>1</v>
      </c>
      <c r="O168" t="str">
        <f>CONCATENATE("4 ","")</f>
        <v>4 </v>
      </c>
      <c r="P168">
        <v>40.35</v>
      </c>
      <c r="Q168" t="s">
        <v>25</v>
      </c>
    </row>
    <row r="169" spans="1:17" ht="12.75">
      <c r="A169" t="s">
        <v>17</v>
      </c>
      <c r="B169" t="s">
        <v>18</v>
      </c>
      <c r="C169" t="s">
        <v>316</v>
      </c>
      <c r="D169" t="str">
        <f>CONCATENATE("0040034037","")</f>
        <v>0040034037</v>
      </c>
      <c r="E169" t="str">
        <f>CONCATENATE("0020508003010       ","")</f>
        <v>0020508003010       </v>
      </c>
      <c r="F169" t="str">
        <f>CONCATENATE("1760780","")</f>
        <v>1760780</v>
      </c>
      <c r="G169" t="s">
        <v>381</v>
      </c>
      <c r="H169" t="s">
        <v>382</v>
      </c>
      <c r="I169" t="s">
        <v>383</v>
      </c>
      <c r="J169" t="str">
        <f t="shared" si="23"/>
        <v>080205</v>
      </c>
      <c r="K169" t="s">
        <v>23</v>
      </c>
      <c r="L169" t="s">
        <v>24</v>
      </c>
      <c r="M169" t="str">
        <f t="shared" si="25"/>
        <v>1</v>
      </c>
      <c r="O169" t="str">
        <f>CONCATENATE("2 ","")</f>
        <v>2 </v>
      </c>
      <c r="P169">
        <v>318.15</v>
      </c>
      <c r="Q169" t="s">
        <v>25</v>
      </c>
    </row>
    <row r="170" spans="1:17" ht="12.75">
      <c r="A170" t="s">
        <v>17</v>
      </c>
      <c r="B170" t="s">
        <v>18</v>
      </c>
      <c r="C170" t="s">
        <v>316</v>
      </c>
      <c r="D170" t="str">
        <f>CONCATENATE("0040040210","")</f>
        <v>0040040210</v>
      </c>
      <c r="E170" t="str">
        <f>CONCATENATE("0020508003050       ","")</f>
        <v>0020508003050       </v>
      </c>
      <c r="F170" t="str">
        <f>CONCATENATE("1760772","")</f>
        <v>1760772</v>
      </c>
      <c r="G170" t="s">
        <v>381</v>
      </c>
      <c r="H170" t="s">
        <v>384</v>
      </c>
      <c r="I170" t="s">
        <v>385</v>
      </c>
      <c r="J170" t="str">
        <f t="shared" si="23"/>
        <v>080205</v>
      </c>
      <c r="K170" t="s">
        <v>23</v>
      </c>
      <c r="L170" t="s">
        <v>24</v>
      </c>
      <c r="M170" t="str">
        <f t="shared" si="25"/>
        <v>1</v>
      </c>
      <c r="O170" t="str">
        <f>CONCATENATE("2 ","")</f>
        <v>2 </v>
      </c>
      <c r="P170">
        <v>519.4</v>
      </c>
      <c r="Q170" t="s">
        <v>25</v>
      </c>
    </row>
    <row r="171" spans="1:17" ht="12.75">
      <c r="A171" t="s">
        <v>17</v>
      </c>
      <c r="B171" t="s">
        <v>18</v>
      </c>
      <c r="C171" t="s">
        <v>316</v>
      </c>
      <c r="D171" t="str">
        <f>CONCATENATE("0040040031","")</f>
        <v>0040040031</v>
      </c>
      <c r="E171" t="str">
        <f>CONCATENATE("0020508003060       ","")</f>
        <v>0020508003060       </v>
      </c>
      <c r="F171" t="str">
        <f>CONCATENATE("1760777","")</f>
        <v>1760777</v>
      </c>
      <c r="G171" t="s">
        <v>381</v>
      </c>
      <c r="H171" t="s">
        <v>386</v>
      </c>
      <c r="I171" t="s">
        <v>387</v>
      </c>
      <c r="J171" t="str">
        <f aca="true" t="shared" si="26" ref="J171:J207">CONCATENATE("080205","")</f>
        <v>080205</v>
      </c>
      <c r="K171" t="s">
        <v>23</v>
      </c>
      <c r="L171" t="s">
        <v>24</v>
      </c>
      <c r="M171" t="str">
        <f t="shared" si="25"/>
        <v>1</v>
      </c>
      <c r="O171" t="str">
        <f>CONCATENATE("1 ","")</f>
        <v>1 </v>
      </c>
      <c r="P171">
        <v>14.7</v>
      </c>
      <c r="Q171" t="s">
        <v>25</v>
      </c>
    </row>
    <row r="172" spans="1:17" ht="12.75">
      <c r="A172" t="s">
        <v>17</v>
      </c>
      <c r="B172" t="s">
        <v>18</v>
      </c>
      <c r="C172" t="s">
        <v>316</v>
      </c>
      <c r="D172" t="str">
        <f>CONCATENATE("0040034038","")</f>
        <v>0040034038</v>
      </c>
      <c r="E172" t="str">
        <f>CONCATENATE("0020508003090       ","")</f>
        <v>0020508003090       </v>
      </c>
      <c r="F172" t="str">
        <f>CONCATENATE("1760764","")</f>
        <v>1760764</v>
      </c>
      <c r="G172" t="s">
        <v>381</v>
      </c>
      <c r="H172" t="s">
        <v>388</v>
      </c>
      <c r="I172" t="s">
        <v>389</v>
      </c>
      <c r="J172" t="str">
        <f t="shared" si="26"/>
        <v>080205</v>
      </c>
      <c r="K172" t="s">
        <v>23</v>
      </c>
      <c r="L172" t="s">
        <v>24</v>
      </c>
      <c r="M172" t="str">
        <f t="shared" si="25"/>
        <v>1</v>
      </c>
      <c r="O172" t="str">
        <f>CONCATENATE("1 ","")</f>
        <v>1 </v>
      </c>
      <c r="P172">
        <v>12.9</v>
      </c>
      <c r="Q172" t="s">
        <v>25</v>
      </c>
    </row>
    <row r="173" spans="1:17" ht="12.75">
      <c r="A173" t="s">
        <v>17</v>
      </c>
      <c r="B173" t="s">
        <v>18</v>
      </c>
      <c r="C173" t="s">
        <v>316</v>
      </c>
      <c r="D173" t="str">
        <f>CONCATENATE("0040034014","")</f>
        <v>0040034014</v>
      </c>
      <c r="E173" t="str">
        <f>CONCATENATE("0020508003110       ","")</f>
        <v>0020508003110       </v>
      </c>
      <c r="F173" t="str">
        <f>CONCATENATE("1760767","")</f>
        <v>1760767</v>
      </c>
      <c r="G173" t="s">
        <v>381</v>
      </c>
      <c r="H173" t="s">
        <v>384</v>
      </c>
      <c r="I173" t="s">
        <v>390</v>
      </c>
      <c r="J173" t="str">
        <f t="shared" si="26"/>
        <v>080205</v>
      </c>
      <c r="K173" t="s">
        <v>23</v>
      </c>
      <c r="L173" t="s">
        <v>24</v>
      </c>
      <c r="M173" t="str">
        <f t="shared" si="25"/>
        <v>1</v>
      </c>
      <c r="O173" t="str">
        <f>CONCATENATE("1 ","")</f>
        <v>1 </v>
      </c>
      <c r="P173">
        <v>12.95</v>
      </c>
      <c r="Q173" t="s">
        <v>25</v>
      </c>
    </row>
    <row r="174" spans="1:17" ht="12.75">
      <c r="A174" t="s">
        <v>17</v>
      </c>
      <c r="B174" t="s">
        <v>18</v>
      </c>
      <c r="C174" t="s">
        <v>316</v>
      </c>
      <c r="D174" t="str">
        <f>CONCATENATE("0040034012","")</f>
        <v>0040034012</v>
      </c>
      <c r="E174" t="str">
        <f>CONCATENATE("0020508003160       ","")</f>
        <v>0020508003160       </v>
      </c>
      <c r="F174" t="str">
        <f>CONCATENATE("1767415","")</f>
        <v>1767415</v>
      </c>
      <c r="G174" t="s">
        <v>381</v>
      </c>
      <c r="H174" t="s">
        <v>391</v>
      </c>
      <c r="I174" t="s">
        <v>392</v>
      </c>
      <c r="J174" t="str">
        <f t="shared" si="26"/>
        <v>080205</v>
      </c>
      <c r="K174" t="s">
        <v>23</v>
      </c>
      <c r="L174" t="s">
        <v>24</v>
      </c>
      <c r="M174" t="str">
        <f t="shared" si="25"/>
        <v>1</v>
      </c>
      <c r="O174" t="str">
        <f>CONCATENATE("1 ","")</f>
        <v>1 </v>
      </c>
      <c r="P174">
        <v>20.7</v>
      </c>
      <c r="Q174" t="s">
        <v>25</v>
      </c>
    </row>
    <row r="175" spans="1:17" ht="12.75">
      <c r="A175" t="s">
        <v>17</v>
      </c>
      <c r="B175" t="s">
        <v>18</v>
      </c>
      <c r="C175" t="s">
        <v>316</v>
      </c>
      <c r="D175" t="str">
        <f>CONCATENATE("0040034040","")</f>
        <v>0040034040</v>
      </c>
      <c r="E175" t="str">
        <f>CONCATENATE("0020508004110       ","")</f>
        <v>0020508004110       </v>
      </c>
      <c r="F175" t="str">
        <f>CONCATENATE("1760768","")</f>
        <v>1760768</v>
      </c>
      <c r="G175" t="s">
        <v>381</v>
      </c>
      <c r="H175" t="s">
        <v>393</v>
      </c>
      <c r="I175" t="s">
        <v>394</v>
      </c>
      <c r="J175" t="str">
        <f t="shared" si="26"/>
        <v>080205</v>
      </c>
      <c r="K175" t="s">
        <v>23</v>
      </c>
      <c r="L175" t="s">
        <v>24</v>
      </c>
      <c r="M175" t="str">
        <f t="shared" si="25"/>
        <v>1</v>
      </c>
      <c r="O175" t="str">
        <f>CONCATENATE("1 ","")</f>
        <v>1 </v>
      </c>
      <c r="P175">
        <v>13.3</v>
      </c>
      <c r="Q175" t="s">
        <v>25</v>
      </c>
    </row>
    <row r="176" spans="1:17" ht="12.75">
      <c r="A176" t="s">
        <v>17</v>
      </c>
      <c r="B176" t="s">
        <v>18</v>
      </c>
      <c r="C176" t="s">
        <v>316</v>
      </c>
      <c r="D176" t="str">
        <f>CONCATENATE("0040040204","")</f>
        <v>0040040204</v>
      </c>
      <c r="E176" t="str">
        <f>CONCATENATE("0020508005020       ","")</f>
        <v>0020508005020       </v>
      </c>
      <c r="F176" t="str">
        <f>CONCATENATE("1760786","")</f>
        <v>1760786</v>
      </c>
      <c r="G176" t="s">
        <v>381</v>
      </c>
      <c r="H176" t="s">
        <v>395</v>
      </c>
      <c r="I176" t="s">
        <v>396</v>
      </c>
      <c r="J176" t="str">
        <f t="shared" si="26"/>
        <v>080205</v>
      </c>
      <c r="K176" t="s">
        <v>23</v>
      </c>
      <c r="L176" t="s">
        <v>24</v>
      </c>
      <c r="M176" t="str">
        <f t="shared" si="25"/>
        <v>1</v>
      </c>
      <c r="O176" t="str">
        <f>CONCATENATE("3 ","")</f>
        <v>3 </v>
      </c>
      <c r="P176">
        <v>48.1</v>
      </c>
      <c r="Q176" t="s">
        <v>25</v>
      </c>
    </row>
    <row r="177" spans="1:17" ht="12.75">
      <c r="A177" t="s">
        <v>17</v>
      </c>
      <c r="B177" t="s">
        <v>18</v>
      </c>
      <c r="C177" t="s">
        <v>316</v>
      </c>
      <c r="D177" t="str">
        <f>CONCATENATE("0040040201","")</f>
        <v>0040040201</v>
      </c>
      <c r="E177" t="str">
        <f>CONCATENATE("0020508005030       ","")</f>
        <v>0020508005030       </v>
      </c>
      <c r="F177" t="str">
        <f>CONCATENATE("1760790","")</f>
        <v>1760790</v>
      </c>
      <c r="G177" t="s">
        <v>381</v>
      </c>
      <c r="H177" t="s">
        <v>397</v>
      </c>
      <c r="I177" t="s">
        <v>398</v>
      </c>
      <c r="J177" t="str">
        <f t="shared" si="26"/>
        <v>080205</v>
      </c>
      <c r="K177" t="s">
        <v>23</v>
      </c>
      <c r="L177" t="s">
        <v>24</v>
      </c>
      <c r="M177" t="str">
        <f t="shared" si="25"/>
        <v>1</v>
      </c>
      <c r="O177" t="str">
        <f>CONCATENATE("3 ","")</f>
        <v>3 </v>
      </c>
      <c r="P177">
        <v>90.45</v>
      </c>
      <c r="Q177" t="s">
        <v>25</v>
      </c>
    </row>
    <row r="178" spans="1:17" ht="12.75">
      <c r="A178" t="s">
        <v>17</v>
      </c>
      <c r="B178" t="s">
        <v>18</v>
      </c>
      <c r="C178" t="s">
        <v>316</v>
      </c>
      <c r="D178" t="str">
        <f>CONCATENATE("0040040203","")</f>
        <v>0040040203</v>
      </c>
      <c r="E178" t="str">
        <f>CONCATENATE("0020508005040       ","")</f>
        <v>0020508005040       </v>
      </c>
      <c r="F178" t="str">
        <f>CONCATENATE("1760788","")</f>
        <v>1760788</v>
      </c>
      <c r="G178" t="s">
        <v>381</v>
      </c>
      <c r="H178" t="s">
        <v>399</v>
      </c>
      <c r="I178" t="s">
        <v>400</v>
      </c>
      <c r="J178" t="str">
        <f t="shared" si="26"/>
        <v>080205</v>
      </c>
      <c r="K178" t="s">
        <v>23</v>
      </c>
      <c r="L178" t="s">
        <v>24</v>
      </c>
      <c r="M178" t="str">
        <f t="shared" si="25"/>
        <v>1</v>
      </c>
      <c r="O178" t="str">
        <f>CONCATENATE("2 ","")</f>
        <v>2 </v>
      </c>
      <c r="P178">
        <v>20.3</v>
      </c>
      <c r="Q178" t="s">
        <v>25</v>
      </c>
    </row>
    <row r="179" spans="1:17" ht="12.75">
      <c r="A179" t="s">
        <v>17</v>
      </c>
      <c r="B179" t="s">
        <v>18</v>
      </c>
      <c r="C179" t="s">
        <v>316</v>
      </c>
      <c r="D179" t="str">
        <f>CONCATENATE("0040034151","")</f>
        <v>0040034151</v>
      </c>
      <c r="E179" t="str">
        <f>CONCATENATE("0020508005160       ","")</f>
        <v>0020508005160       </v>
      </c>
      <c r="F179" t="str">
        <f>CONCATENATE("1760799","")</f>
        <v>1760799</v>
      </c>
      <c r="G179" t="s">
        <v>381</v>
      </c>
      <c r="H179" t="s">
        <v>401</v>
      </c>
      <c r="I179" t="s">
        <v>402</v>
      </c>
      <c r="J179" t="str">
        <f t="shared" si="26"/>
        <v>080205</v>
      </c>
      <c r="K179" t="s">
        <v>23</v>
      </c>
      <c r="L179" t="s">
        <v>24</v>
      </c>
      <c r="M179" t="str">
        <f t="shared" si="25"/>
        <v>1</v>
      </c>
      <c r="O179" t="str">
        <f>CONCATENATE("4 ","")</f>
        <v>4 </v>
      </c>
      <c r="P179">
        <v>96.5</v>
      </c>
      <c r="Q179" t="s">
        <v>25</v>
      </c>
    </row>
    <row r="180" spans="1:17" ht="12.75">
      <c r="A180" t="s">
        <v>17</v>
      </c>
      <c r="B180" t="s">
        <v>18</v>
      </c>
      <c r="C180" t="s">
        <v>316</v>
      </c>
      <c r="D180" t="str">
        <f>CONCATENATE("0130019629","")</f>
        <v>0130019629</v>
      </c>
      <c r="E180" t="str">
        <f>CONCATENATE("0020509001180       ","")</f>
        <v>0020509001180       </v>
      </c>
      <c r="F180" t="str">
        <f>CONCATENATE("90600873","")</f>
        <v>90600873</v>
      </c>
      <c r="G180" t="s">
        <v>403</v>
      </c>
      <c r="H180" t="s">
        <v>404</v>
      </c>
      <c r="I180" t="s">
        <v>405</v>
      </c>
      <c r="J180" t="str">
        <f t="shared" si="26"/>
        <v>080205</v>
      </c>
      <c r="K180" t="s">
        <v>23</v>
      </c>
      <c r="L180" t="s">
        <v>24</v>
      </c>
      <c r="M180" t="str">
        <f t="shared" si="25"/>
        <v>1</v>
      </c>
      <c r="O180" t="str">
        <f aca="true" t="shared" si="27" ref="O180:O200">CONCATENATE("1 ","")</f>
        <v>1 </v>
      </c>
      <c r="P180">
        <v>15.75</v>
      </c>
      <c r="Q180" t="s">
        <v>25</v>
      </c>
    </row>
    <row r="181" spans="1:17" ht="12.75">
      <c r="A181" t="s">
        <v>17</v>
      </c>
      <c r="B181" t="s">
        <v>18</v>
      </c>
      <c r="C181" t="s">
        <v>316</v>
      </c>
      <c r="D181" t="str">
        <f>CONCATENATE("0130018142","")</f>
        <v>0130018142</v>
      </c>
      <c r="E181" t="str">
        <f>CONCATENATE("0020509002050       ","")</f>
        <v>0020509002050       </v>
      </c>
      <c r="F181" t="str">
        <f>CONCATENATE("90601374","")</f>
        <v>90601374</v>
      </c>
      <c r="G181" t="s">
        <v>403</v>
      </c>
      <c r="H181" t="s">
        <v>406</v>
      </c>
      <c r="I181" t="s">
        <v>407</v>
      </c>
      <c r="J181" t="str">
        <f t="shared" si="26"/>
        <v>080205</v>
      </c>
      <c r="K181" t="s">
        <v>23</v>
      </c>
      <c r="L181" t="s">
        <v>24</v>
      </c>
      <c r="M181" t="str">
        <f t="shared" si="25"/>
        <v>1</v>
      </c>
      <c r="O181" t="str">
        <f t="shared" si="27"/>
        <v>1 </v>
      </c>
      <c r="P181">
        <v>13.45</v>
      </c>
      <c r="Q181" t="s">
        <v>25</v>
      </c>
    </row>
    <row r="182" spans="1:17" ht="12.75">
      <c r="A182" t="s">
        <v>17</v>
      </c>
      <c r="B182" t="s">
        <v>18</v>
      </c>
      <c r="C182" t="s">
        <v>316</v>
      </c>
      <c r="D182" t="str">
        <f>CONCATENATE("0130001481","")</f>
        <v>0130001481</v>
      </c>
      <c r="E182" t="str">
        <f>CONCATENATE("0020510000010       ","")</f>
        <v>0020510000010       </v>
      </c>
      <c r="F182" t="str">
        <f>CONCATENATE("605398856","")</f>
        <v>605398856</v>
      </c>
      <c r="G182" t="s">
        <v>408</v>
      </c>
      <c r="H182" t="s">
        <v>409</v>
      </c>
      <c r="I182" t="s">
        <v>410</v>
      </c>
      <c r="J182" t="str">
        <f t="shared" si="26"/>
        <v>080205</v>
      </c>
      <c r="K182" t="s">
        <v>23</v>
      </c>
      <c r="L182" t="s">
        <v>24</v>
      </c>
      <c r="M182" t="str">
        <f t="shared" si="25"/>
        <v>1</v>
      </c>
      <c r="O182" t="str">
        <f t="shared" si="27"/>
        <v>1 </v>
      </c>
      <c r="P182">
        <v>26.8</v>
      </c>
      <c r="Q182" t="s">
        <v>25</v>
      </c>
    </row>
    <row r="183" spans="1:17" ht="12.75">
      <c r="A183" t="s">
        <v>17</v>
      </c>
      <c r="B183" t="s">
        <v>18</v>
      </c>
      <c r="C183" t="s">
        <v>316</v>
      </c>
      <c r="D183" t="str">
        <f>CONCATENATE("0130010346","")</f>
        <v>0130010346</v>
      </c>
      <c r="E183" t="str">
        <f>CONCATENATE("0020510000265       ","")</f>
        <v>0020510000265       </v>
      </c>
      <c r="F183" t="str">
        <f>CONCATENATE("605623958","")</f>
        <v>605623958</v>
      </c>
      <c r="G183" t="s">
        <v>408</v>
      </c>
      <c r="H183" t="s">
        <v>411</v>
      </c>
      <c r="I183" t="s">
        <v>412</v>
      </c>
      <c r="J183" t="str">
        <f t="shared" si="26"/>
        <v>080205</v>
      </c>
      <c r="K183" t="s">
        <v>23</v>
      </c>
      <c r="L183" t="s">
        <v>24</v>
      </c>
      <c r="M183" t="str">
        <f t="shared" si="25"/>
        <v>1</v>
      </c>
      <c r="O183" t="str">
        <f t="shared" si="27"/>
        <v>1 </v>
      </c>
      <c r="P183">
        <v>26.15</v>
      </c>
      <c r="Q183" t="s">
        <v>25</v>
      </c>
    </row>
    <row r="184" spans="1:17" ht="12.75">
      <c r="A184" t="s">
        <v>17</v>
      </c>
      <c r="B184" t="s">
        <v>18</v>
      </c>
      <c r="C184" t="s">
        <v>316</v>
      </c>
      <c r="D184" t="str">
        <f>CONCATENATE("0130010350","")</f>
        <v>0130010350</v>
      </c>
      <c r="E184" t="str">
        <f>CONCATENATE("0020510000375       ","")</f>
        <v>0020510000375       </v>
      </c>
      <c r="F184" t="str">
        <f>CONCATENATE("605390526","")</f>
        <v>605390526</v>
      </c>
      <c r="G184" t="s">
        <v>408</v>
      </c>
      <c r="H184" t="s">
        <v>413</v>
      </c>
      <c r="I184" t="s">
        <v>414</v>
      </c>
      <c r="J184" t="str">
        <f t="shared" si="26"/>
        <v>080205</v>
      </c>
      <c r="K184" t="s">
        <v>23</v>
      </c>
      <c r="L184" t="s">
        <v>24</v>
      </c>
      <c r="M184" t="str">
        <f t="shared" si="25"/>
        <v>1</v>
      </c>
      <c r="O184" t="str">
        <f t="shared" si="27"/>
        <v>1 </v>
      </c>
      <c r="P184">
        <v>48.8</v>
      </c>
      <c r="Q184" t="s">
        <v>25</v>
      </c>
    </row>
    <row r="185" spans="1:17" ht="12.75">
      <c r="A185" t="s">
        <v>17</v>
      </c>
      <c r="B185" t="s">
        <v>18</v>
      </c>
      <c r="C185" t="s">
        <v>316</v>
      </c>
      <c r="D185" t="str">
        <f>CONCATENATE("0130014390","")</f>
        <v>0130014390</v>
      </c>
      <c r="E185" t="str">
        <f>CONCATENATE("0020511000070       ","")</f>
        <v>0020511000070       </v>
      </c>
      <c r="F185" t="str">
        <f>CONCATENATE("606668208","")</f>
        <v>606668208</v>
      </c>
      <c r="G185" t="s">
        <v>415</v>
      </c>
      <c r="H185" t="s">
        <v>416</v>
      </c>
      <c r="I185" t="s">
        <v>417</v>
      </c>
      <c r="J185" t="str">
        <f t="shared" si="26"/>
        <v>080205</v>
      </c>
      <c r="K185" t="s">
        <v>23</v>
      </c>
      <c r="L185" t="s">
        <v>24</v>
      </c>
      <c r="M185" t="str">
        <f t="shared" si="25"/>
        <v>1</v>
      </c>
      <c r="O185" t="str">
        <f t="shared" si="27"/>
        <v>1 </v>
      </c>
      <c r="P185">
        <v>41.3</v>
      </c>
      <c r="Q185" t="s">
        <v>25</v>
      </c>
    </row>
    <row r="186" spans="1:17" ht="12.75">
      <c r="A186" t="s">
        <v>17</v>
      </c>
      <c r="B186" t="s">
        <v>18</v>
      </c>
      <c r="C186" t="s">
        <v>316</v>
      </c>
      <c r="D186" t="str">
        <f>CONCATENATE("0130018641","")</f>
        <v>0130018641</v>
      </c>
      <c r="E186" t="str">
        <f>CONCATENATE("0020513001180       ","")</f>
        <v>0020513001180       </v>
      </c>
      <c r="F186" t="str">
        <f>CONCATENATE("90601015","")</f>
        <v>90601015</v>
      </c>
      <c r="G186" t="s">
        <v>372</v>
      </c>
      <c r="H186" t="s">
        <v>418</v>
      </c>
      <c r="I186" t="s">
        <v>419</v>
      </c>
      <c r="J186" t="str">
        <f t="shared" si="26"/>
        <v>080205</v>
      </c>
      <c r="K186" t="s">
        <v>23</v>
      </c>
      <c r="L186" t="s">
        <v>24</v>
      </c>
      <c r="M186" t="str">
        <f t="shared" si="25"/>
        <v>1</v>
      </c>
      <c r="O186" t="str">
        <f t="shared" si="27"/>
        <v>1 </v>
      </c>
      <c r="P186">
        <v>15.15</v>
      </c>
      <c r="Q186" t="s">
        <v>25</v>
      </c>
    </row>
    <row r="187" spans="1:17" ht="12.75">
      <c r="A187" t="s">
        <v>17</v>
      </c>
      <c r="B187" t="s">
        <v>18</v>
      </c>
      <c r="C187" t="s">
        <v>316</v>
      </c>
      <c r="D187" t="str">
        <f>CONCATENATE("0130018672","")</f>
        <v>0130018672</v>
      </c>
      <c r="E187" t="str">
        <f>CONCATENATE("0020513002240       ","")</f>
        <v>0020513002240       </v>
      </c>
      <c r="F187" t="str">
        <f>CONCATENATE("90500522","")</f>
        <v>90500522</v>
      </c>
      <c r="G187" t="s">
        <v>372</v>
      </c>
      <c r="H187" t="s">
        <v>420</v>
      </c>
      <c r="I187" t="s">
        <v>419</v>
      </c>
      <c r="J187" t="str">
        <f t="shared" si="26"/>
        <v>080205</v>
      </c>
      <c r="K187" t="s">
        <v>23</v>
      </c>
      <c r="L187" t="s">
        <v>24</v>
      </c>
      <c r="M187" t="str">
        <f t="shared" si="25"/>
        <v>1</v>
      </c>
      <c r="O187" t="str">
        <f t="shared" si="27"/>
        <v>1 </v>
      </c>
      <c r="P187">
        <v>12</v>
      </c>
      <c r="Q187" t="s">
        <v>25</v>
      </c>
    </row>
    <row r="188" spans="1:17" ht="12.75">
      <c r="A188" t="s">
        <v>17</v>
      </c>
      <c r="B188" t="s">
        <v>18</v>
      </c>
      <c r="C188" t="s">
        <v>316</v>
      </c>
      <c r="D188" t="str">
        <f>CONCATENATE("0130018680","")</f>
        <v>0130018680</v>
      </c>
      <c r="E188" t="str">
        <f>CONCATENATE("0020513003010       ","")</f>
        <v>0020513003010       </v>
      </c>
      <c r="F188" t="str">
        <f>CONCATENATE("90601295","")</f>
        <v>90601295</v>
      </c>
      <c r="G188" t="s">
        <v>372</v>
      </c>
      <c r="H188" t="s">
        <v>421</v>
      </c>
      <c r="I188" t="s">
        <v>419</v>
      </c>
      <c r="J188" t="str">
        <f t="shared" si="26"/>
        <v>080205</v>
      </c>
      <c r="K188" t="s">
        <v>23</v>
      </c>
      <c r="L188" t="s">
        <v>24</v>
      </c>
      <c r="M188" t="str">
        <f t="shared" si="25"/>
        <v>1</v>
      </c>
      <c r="O188" t="str">
        <f t="shared" si="27"/>
        <v>1 </v>
      </c>
      <c r="P188">
        <v>23.55</v>
      </c>
      <c r="Q188" t="s">
        <v>25</v>
      </c>
    </row>
    <row r="189" spans="1:17" ht="12.75">
      <c r="A189" t="s">
        <v>17</v>
      </c>
      <c r="B189" t="s">
        <v>18</v>
      </c>
      <c r="C189" t="s">
        <v>316</v>
      </c>
      <c r="D189" t="str">
        <f>CONCATENATE("0130018665","")</f>
        <v>0130018665</v>
      </c>
      <c r="E189" t="str">
        <f>CONCATENATE("0020513003030       ","")</f>
        <v>0020513003030       </v>
      </c>
      <c r="F189" t="str">
        <f>CONCATENATE("507008021","")</f>
        <v>507008021</v>
      </c>
      <c r="G189" t="s">
        <v>372</v>
      </c>
      <c r="H189" t="s">
        <v>422</v>
      </c>
      <c r="I189" t="s">
        <v>419</v>
      </c>
      <c r="J189" t="str">
        <f t="shared" si="26"/>
        <v>080205</v>
      </c>
      <c r="K189" t="s">
        <v>23</v>
      </c>
      <c r="L189" t="s">
        <v>24</v>
      </c>
      <c r="M189" t="str">
        <f>CONCATENATE("2","")</f>
        <v>2</v>
      </c>
      <c r="O189" t="str">
        <f t="shared" si="27"/>
        <v>1 </v>
      </c>
      <c r="P189">
        <v>113.7</v>
      </c>
      <c r="Q189" t="s">
        <v>124</v>
      </c>
    </row>
    <row r="190" spans="1:17" ht="12.75">
      <c r="A190" t="s">
        <v>17</v>
      </c>
      <c r="B190" t="s">
        <v>18</v>
      </c>
      <c r="C190" t="s">
        <v>316</v>
      </c>
      <c r="D190" t="str">
        <f>CONCATENATE("0130018634","")</f>
        <v>0130018634</v>
      </c>
      <c r="E190" t="str">
        <f>CONCATENATE("0020513003090       ","")</f>
        <v>0020513003090       </v>
      </c>
      <c r="F190" t="str">
        <f>CONCATENATE("90500928","")</f>
        <v>90500928</v>
      </c>
      <c r="G190" t="s">
        <v>372</v>
      </c>
      <c r="H190" t="s">
        <v>423</v>
      </c>
      <c r="I190" t="s">
        <v>419</v>
      </c>
      <c r="J190" t="str">
        <f t="shared" si="26"/>
        <v>080205</v>
      </c>
      <c r="K190" t="s">
        <v>23</v>
      </c>
      <c r="L190" t="s">
        <v>24</v>
      </c>
      <c r="M190" t="str">
        <f aca="true" t="shared" si="28" ref="M190:M221">CONCATENATE("1","")</f>
        <v>1</v>
      </c>
      <c r="O190" t="str">
        <f t="shared" si="27"/>
        <v>1 </v>
      </c>
      <c r="P190">
        <v>13.05</v>
      </c>
      <c r="Q190" t="s">
        <v>25</v>
      </c>
    </row>
    <row r="191" spans="1:17" ht="12.75">
      <c r="A191" t="s">
        <v>17</v>
      </c>
      <c r="B191" t="s">
        <v>18</v>
      </c>
      <c r="C191" t="s">
        <v>316</v>
      </c>
      <c r="D191" t="str">
        <f>CONCATENATE("0130021271","")</f>
        <v>0130021271</v>
      </c>
      <c r="E191" t="str">
        <f>CONCATENATE("0020513003380       ","")</f>
        <v>0020513003380       </v>
      </c>
      <c r="F191" t="str">
        <f>CONCATENATE("1938797","")</f>
        <v>1938797</v>
      </c>
      <c r="G191" t="s">
        <v>372</v>
      </c>
      <c r="H191" t="s">
        <v>424</v>
      </c>
      <c r="I191" t="s">
        <v>425</v>
      </c>
      <c r="J191" t="str">
        <f t="shared" si="26"/>
        <v>080205</v>
      </c>
      <c r="K191" t="s">
        <v>23</v>
      </c>
      <c r="L191" t="s">
        <v>24</v>
      </c>
      <c r="M191" t="str">
        <f t="shared" si="28"/>
        <v>1</v>
      </c>
      <c r="O191" t="str">
        <f t="shared" si="27"/>
        <v>1 </v>
      </c>
      <c r="P191">
        <v>14.85</v>
      </c>
      <c r="Q191" t="s">
        <v>25</v>
      </c>
    </row>
    <row r="192" spans="1:17" ht="12.75">
      <c r="A192" t="s">
        <v>17</v>
      </c>
      <c r="B192" t="s">
        <v>18</v>
      </c>
      <c r="C192" t="s">
        <v>316</v>
      </c>
      <c r="D192" t="str">
        <f>CONCATENATE("0130018738","")</f>
        <v>0130018738</v>
      </c>
      <c r="E192" t="str">
        <f>CONCATENATE("0020514001200       ","")</f>
        <v>0020514001200       </v>
      </c>
      <c r="F192" t="str">
        <f>CONCATENATE("90500144","")</f>
        <v>90500144</v>
      </c>
      <c r="G192" t="s">
        <v>426</v>
      </c>
      <c r="H192" t="s">
        <v>427</v>
      </c>
      <c r="I192" t="s">
        <v>428</v>
      </c>
      <c r="J192" t="str">
        <f t="shared" si="26"/>
        <v>080205</v>
      </c>
      <c r="K192" t="s">
        <v>23</v>
      </c>
      <c r="L192" t="s">
        <v>24</v>
      </c>
      <c r="M192" t="str">
        <f t="shared" si="28"/>
        <v>1</v>
      </c>
      <c r="O192" t="str">
        <f t="shared" si="27"/>
        <v>1 </v>
      </c>
      <c r="P192">
        <v>16.3</v>
      </c>
      <c r="Q192" t="s">
        <v>25</v>
      </c>
    </row>
    <row r="193" spans="1:17" ht="12.75">
      <c r="A193" t="s">
        <v>17</v>
      </c>
      <c r="B193" t="s">
        <v>18</v>
      </c>
      <c r="C193" t="s">
        <v>316</v>
      </c>
      <c r="D193" t="str">
        <f>CONCATENATE("0130018706","")</f>
        <v>0130018706</v>
      </c>
      <c r="E193" t="str">
        <f>CONCATENATE("0020514002120       ","")</f>
        <v>0020514002120       </v>
      </c>
      <c r="F193" t="str">
        <f>CONCATENATE("90500217","")</f>
        <v>90500217</v>
      </c>
      <c r="G193" t="s">
        <v>426</v>
      </c>
      <c r="H193" t="s">
        <v>429</v>
      </c>
      <c r="I193" t="s">
        <v>428</v>
      </c>
      <c r="J193" t="str">
        <f t="shared" si="26"/>
        <v>080205</v>
      </c>
      <c r="K193" t="s">
        <v>23</v>
      </c>
      <c r="L193" t="s">
        <v>24</v>
      </c>
      <c r="M193" t="str">
        <f t="shared" si="28"/>
        <v>1</v>
      </c>
      <c r="O193" t="str">
        <f t="shared" si="27"/>
        <v>1 </v>
      </c>
      <c r="P193">
        <v>12</v>
      </c>
      <c r="Q193" t="s">
        <v>25</v>
      </c>
    </row>
    <row r="194" spans="1:17" ht="12.75">
      <c r="A194" t="s">
        <v>17</v>
      </c>
      <c r="B194" t="s">
        <v>18</v>
      </c>
      <c r="C194" t="s">
        <v>316</v>
      </c>
      <c r="D194" t="str">
        <f>CONCATENATE("0130018725","")</f>
        <v>0130018725</v>
      </c>
      <c r="E194" t="str">
        <f>CONCATENATE("0020514002250       ","")</f>
        <v>0020514002250       </v>
      </c>
      <c r="F194" t="str">
        <f>CONCATENATE("90601806","")</f>
        <v>90601806</v>
      </c>
      <c r="G194" t="s">
        <v>430</v>
      </c>
      <c r="H194" t="s">
        <v>431</v>
      </c>
      <c r="I194" t="s">
        <v>428</v>
      </c>
      <c r="J194" t="str">
        <f t="shared" si="26"/>
        <v>080205</v>
      </c>
      <c r="K194" t="s">
        <v>23</v>
      </c>
      <c r="L194" t="s">
        <v>24</v>
      </c>
      <c r="M194" t="str">
        <f t="shared" si="28"/>
        <v>1</v>
      </c>
      <c r="O194" t="str">
        <f t="shared" si="27"/>
        <v>1 </v>
      </c>
      <c r="P194">
        <v>13.45</v>
      </c>
      <c r="Q194" t="s">
        <v>25</v>
      </c>
    </row>
    <row r="195" spans="1:17" ht="12.75">
      <c r="A195" t="s">
        <v>17</v>
      </c>
      <c r="B195" t="s">
        <v>18</v>
      </c>
      <c r="C195" t="s">
        <v>316</v>
      </c>
      <c r="D195" t="str">
        <f>CONCATENATE("0130021372","")</f>
        <v>0130021372</v>
      </c>
      <c r="E195" t="str">
        <f>CONCATENATE("0020514003150       ","")</f>
        <v>0020514003150       </v>
      </c>
      <c r="F195" t="str">
        <f>CONCATENATE("90500154","")</f>
        <v>90500154</v>
      </c>
      <c r="G195" t="s">
        <v>426</v>
      </c>
      <c r="H195" t="s">
        <v>432</v>
      </c>
      <c r="I195" t="s">
        <v>433</v>
      </c>
      <c r="J195" t="str">
        <f t="shared" si="26"/>
        <v>080205</v>
      </c>
      <c r="K195" t="s">
        <v>23</v>
      </c>
      <c r="L195" t="s">
        <v>24</v>
      </c>
      <c r="M195" t="str">
        <f t="shared" si="28"/>
        <v>1</v>
      </c>
      <c r="O195" t="str">
        <f t="shared" si="27"/>
        <v>1 </v>
      </c>
      <c r="P195">
        <v>14.5</v>
      </c>
      <c r="Q195" t="s">
        <v>25</v>
      </c>
    </row>
    <row r="196" spans="1:17" ht="12.75">
      <c r="A196" t="s">
        <v>17</v>
      </c>
      <c r="B196" t="s">
        <v>18</v>
      </c>
      <c r="C196" t="s">
        <v>316</v>
      </c>
      <c r="D196" t="str">
        <f>CONCATENATE("0130018776","")</f>
        <v>0130018776</v>
      </c>
      <c r="E196" t="str">
        <f>CONCATENATE("0020515001350       ","")</f>
        <v>0020515001350       </v>
      </c>
      <c r="F196" t="str">
        <f>CONCATENATE("90500206","")</f>
        <v>90500206</v>
      </c>
      <c r="G196" t="s">
        <v>426</v>
      </c>
      <c r="H196" t="s">
        <v>434</v>
      </c>
      <c r="I196" t="s">
        <v>435</v>
      </c>
      <c r="J196" t="str">
        <f t="shared" si="26"/>
        <v>080205</v>
      </c>
      <c r="K196" t="s">
        <v>23</v>
      </c>
      <c r="L196" t="s">
        <v>24</v>
      </c>
      <c r="M196" t="str">
        <f t="shared" si="28"/>
        <v>1</v>
      </c>
      <c r="O196" t="str">
        <f t="shared" si="27"/>
        <v>1 </v>
      </c>
      <c r="P196">
        <v>11.9</v>
      </c>
      <c r="Q196" t="s">
        <v>25</v>
      </c>
    </row>
    <row r="197" spans="1:17" ht="12.75">
      <c r="A197" t="s">
        <v>17</v>
      </c>
      <c r="B197" t="s">
        <v>18</v>
      </c>
      <c r="C197" t="s">
        <v>316</v>
      </c>
      <c r="D197" t="str">
        <f>CONCATENATE("0130018764","")</f>
        <v>0130018764</v>
      </c>
      <c r="E197" t="str">
        <f>CONCATENATE("0020515002160       ","")</f>
        <v>0020515002160       </v>
      </c>
      <c r="F197" t="str">
        <f>CONCATENATE("90601811","")</f>
        <v>90601811</v>
      </c>
      <c r="G197" t="s">
        <v>430</v>
      </c>
      <c r="H197" t="s">
        <v>436</v>
      </c>
      <c r="I197" t="s">
        <v>435</v>
      </c>
      <c r="J197" t="str">
        <f t="shared" si="26"/>
        <v>080205</v>
      </c>
      <c r="K197" t="s">
        <v>23</v>
      </c>
      <c r="L197" t="s">
        <v>24</v>
      </c>
      <c r="M197" t="str">
        <f t="shared" si="28"/>
        <v>1</v>
      </c>
      <c r="O197" t="str">
        <f t="shared" si="27"/>
        <v>1 </v>
      </c>
      <c r="P197">
        <v>11.9</v>
      </c>
      <c r="Q197" t="s">
        <v>25</v>
      </c>
    </row>
    <row r="198" spans="1:17" ht="12.75">
      <c r="A198" t="s">
        <v>17</v>
      </c>
      <c r="B198" t="s">
        <v>18</v>
      </c>
      <c r="C198" t="s">
        <v>316</v>
      </c>
      <c r="D198" t="str">
        <f>CONCATENATE("0130020640","")</f>
        <v>0130020640</v>
      </c>
      <c r="E198" t="str">
        <f>CONCATENATE("0020515002220       ","")</f>
        <v>0020515002220       </v>
      </c>
      <c r="F198" t="str">
        <f>CONCATENATE("90601803","")</f>
        <v>90601803</v>
      </c>
      <c r="G198" t="s">
        <v>430</v>
      </c>
      <c r="H198" t="s">
        <v>437</v>
      </c>
      <c r="I198" t="s">
        <v>438</v>
      </c>
      <c r="J198" t="str">
        <f t="shared" si="26"/>
        <v>080205</v>
      </c>
      <c r="K198" t="s">
        <v>23</v>
      </c>
      <c r="L198" t="s">
        <v>24</v>
      </c>
      <c r="M198" t="str">
        <f t="shared" si="28"/>
        <v>1</v>
      </c>
      <c r="O198" t="str">
        <f t="shared" si="27"/>
        <v>1 </v>
      </c>
      <c r="P198">
        <v>12</v>
      </c>
      <c r="Q198" t="s">
        <v>25</v>
      </c>
    </row>
    <row r="199" spans="1:17" ht="12.75">
      <c r="A199" t="s">
        <v>17</v>
      </c>
      <c r="B199" t="s">
        <v>18</v>
      </c>
      <c r="C199" t="s">
        <v>316</v>
      </c>
      <c r="D199" t="str">
        <f>CONCATENATE("0040035747","")</f>
        <v>0040035747</v>
      </c>
      <c r="E199" t="str">
        <f>CONCATENATE("0020517002055       ","")</f>
        <v>0020517002055       </v>
      </c>
      <c r="F199" t="str">
        <f>CONCATENATE("90601397","")</f>
        <v>90601397</v>
      </c>
      <c r="G199" t="s">
        <v>439</v>
      </c>
      <c r="H199" t="s">
        <v>440</v>
      </c>
      <c r="I199" t="s">
        <v>441</v>
      </c>
      <c r="J199" t="str">
        <f t="shared" si="26"/>
        <v>080205</v>
      </c>
      <c r="K199" t="s">
        <v>23</v>
      </c>
      <c r="L199" t="s">
        <v>24</v>
      </c>
      <c r="M199" t="str">
        <f t="shared" si="28"/>
        <v>1</v>
      </c>
      <c r="O199" t="str">
        <f t="shared" si="27"/>
        <v>1 </v>
      </c>
      <c r="P199">
        <v>16.3</v>
      </c>
      <c r="Q199" t="s">
        <v>25</v>
      </c>
    </row>
    <row r="200" spans="1:17" ht="12.75">
      <c r="A200" t="s">
        <v>17</v>
      </c>
      <c r="B200" t="s">
        <v>18</v>
      </c>
      <c r="C200" t="s">
        <v>316</v>
      </c>
      <c r="D200" t="str">
        <f>CONCATENATE("0130018067","")</f>
        <v>0130018067</v>
      </c>
      <c r="E200" t="str">
        <f>CONCATENATE("0020518001200       ","")</f>
        <v>0020518001200       </v>
      </c>
      <c r="F200" t="str">
        <f>CONCATENATE("90601536","")</f>
        <v>90601536</v>
      </c>
      <c r="G200" t="s">
        <v>442</v>
      </c>
      <c r="H200" t="s">
        <v>443</v>
      </c>
      <c r="I200" t="s">
        <v>444</v>
      </c>
      <c r="J200" t="str">
        <f t="shared" si="26"/>
        <v>080205</v>
      </c>
      <c r="K200" t="s">
        <v>23</v>
      </c>
      <c r="L200" t="s">
        <v>24</v>
      </c>
      <c r="M200" t="str">
        <f t="shared" si="28"/>
        <v>1</v>
      </c>
      <c r="O200" t="str">
        <f t="shared" si="27"/>
        <v>1 </v>
      </c>
      <c r="P200">
        <v>17</v>
      </c>
      <c r="Q200" t="s">
        <v>25</v>
      </c>
    </row>
    <row r="201" spans="1:17" ht="12.75">
      <c r="A201" t="s">
        <v>17</v>
      </c>
      <c r="B201" t="s">
        <v>18</v>
      </c>
      <c r="C201" t="s">
        <v>316</v>
      </c>
      <c r="D201" t="str">
        <f>CONCATENATE("0040039186","")</f>
        <v>0040039186</v>
      </c>
      <c r="E201" t="str">
        <f>CONCATENATE("0020518002015       ","")</f>
        <v>0020518002015       </v>
      </c>
      <c r="F201" t="str">
        <f>CONCATENATE("90500447","")</f>
        <v>90500447</v>
      </c>
      <c r="G201" t="s">
        <v>442</v>
      </c>
      <c r="H201" t="s">
        <v>445</v>
      </c>
      <c r="I201" t="s">
        <v>446</v>
      </c>
      <c r="J201" t="str">
        <f t="shared" si="26"/>
        <v>080205</v>
      </c>
      <c r="K201" t="s">
        <v>23</v>
      </c>
      <c r="L201" t="s">
        <v>24</v>
      </c>
      <c r="M201" t="str">
        <f t="shared" si="28"/>
        <v>1</v>
      </c>
      <c r="O201" t="str">
        <f>CONCATENATE("3 ","")</f>
        <v>3 </v>
      </c>
      <c r="P201">
        <v>823.2</v>
      </c>
      <c r="Q201" t="s">
        <v>25</v>
      </c>
    </row>
    <row r="202" spans="1:17" ht="12.75">
      <c r="A202" t="s">
        <v>17</v>
      </c>
      <c r="B202" t="s">
        <v>18</v>
      </c>
      <c r="C202" t="s">
        <v>316</v>
      </c>
      <c r="D202" t="str">
        <f>CONCATENATE("0130018101","")</f>
        <v>0130018101</v>
      </c>
      <c r="E202" t="str">
        <f>CONCATENATE("0020521001220       ","")</f>
        <v>0020521001220       </v>
      </c>
      <c r="F202" t="str">
        <f>CONCATENATE("90500242","")</f>
        <v>90500242</v>
      </c>
      <c r="G202" t="s">
        <v>447</v>
      </c>
      <c r="H202" t="s">
        <v>448</v>
      </c>
      <c r="I202" t="s">
        <v>449</v>
      </c>
      <c r="J202" t="str">
        <f t="shared" si="26"/>
        <v>080205</v>
      </c>
      <c r="K202" t="s">
        <v>23</v>
      </c>
      <c r="L202" t="s">
        <v>24</v>
      </c>
      <c r="M202" t="str">
        <f t="shared" si="28"/>
        <v>1</v>
      </c>
      <c r="O202" t="str">
        <f aca="true" t="shared" si="29" ref="O202:O217">CONCATENATE("1 ","")</f>
        <v>1 </v>
      </c>
      <c r="P202">
        <v>12.75</v>
      </c>
      <c r="Q202" t="s">
        <v>25</v>
      </c>
    </row>
    <row r="203" spans="1:17" ht="12.75">
      <c r="A203" t="s">
        <v>17</v>
      </c>
      <c r="B203" t="s">
        <v>18</v>
      </c>
      <c r="C203" t="s">
        <v>316</v>
      </c>
      <c r="D203" t="str">
        <f>CONCATENATE("0130020647","")</f>
        <v>0130020647</v>
      </c>
      <c r="E203" t="str">
        <f>CONCATENATE("0020521002515       ","")</f>
        <v>0020521002515       </v>
      </c>
      <c r="F203" t="str">
        <f>CONCATENATE("1670830","")</f>
        <v>1670830</v>
      </c>
      <c r="G203" t="s">
        <v>447</v>
      </c>
      <c r="H203" t="s">
        <v>450</v>
      </c>
      <c r="I203" t="s">
        <v>451</v>
      </c>
      <c r="J203" t="str">
        <f t="shared" si="26"/>
        <v>080205</v>
      </c>
      <c r="K203" t="s">
        <v>23</v>
      </c>
      <c r="L203" t="s">
        <v>24</v>
      </c>
      <c r="M203" t="str">
        <f t="shared" si="28"/>
        <v>1</v>
      </c>
      <c r="O203" t="str">
        <f t="shared" si="29"/>
        <v>1 </v>
      </c>
      <c r="P203">
        <v>12</v>
      </c>
      <c r="Q203" t="s">
        <v>25</v>
      </c>
    </row>
    <row r="204" spans="1:17" ht="12.75">
      <c r="A204" t="s">
        <v>17</v>
      </c>
      <c r="B204" t="s">
        <v>18</v>
      </c>
      <c r="C204" t="s">
        <v>316</v>
      </c>
      <c r="D204" t="str">
        <f>CONCATENATE("0130018328","")</f>
        <v>0130018328</v>
      </c>
      <c r="E204" t="str">
        <f>CONCATENATE("0020522001100       ","")</f>
        <v>0020522001100       </v>
      </c>
      <c r="F204" t="str">
        <f>CONCATENATE("90601810","")</f>
        <v>90601810</v>
      </c>
      <c r="G204" t="s">
        <v>452</v>
      </c>
      <c r="H204" t="s">
        <v>453</v>
      </c>
      <c r="I204" t="s">
        <v>454</v>
      </c>
      <c r="J204" t="str">
        <f t="shared" si="26"/>
        <v>080205</v>
      </c>
      <c r="K204" t="s">
        <v>23</v>
      </c>
      <c r="L204" t="s">
        <v>24</v>
      </c>
      <c r="M204" t="str">
        <f t="shared" si="28"/>
        <v>1</v>
      </c>
      <c r="O204" t="str">
        <f t="shared" si="29"/>
        <v>1 </v>
      </c>
      <c r="P204">
        <v>22.05</v>
      </c>
      <c r="Q204" t="s">
        <v>25</v>
      </c>
    </row>
    <row r="205" spans="1:17" ht="12.75">
      <c r="A205" t="s">
        <v>17</v>
      </c>
      <c r="B205" t="s">
        <v>18</v>
      </c>
      <c r="C205" t="s">
        <v>316</v>
      </c>
      <c r="D205" t="str">
        <f>CONCATENATE("0130018329","")</f>
        <v>0130018329</v>
      </c>
      <c r="E205" t="str">
        <f>CONCATENATE("0020522001220       ","")</f>
        <v>0020522001220       </v>
      </c>
      <c r="F205" t="str">
        <f>CONCATENATE("90601035","")</f>
        <v>90601035</v>
      </c>
      <c r="G205" t="s">
        <v>452</v>
      </c>
      <c r="H205" t="s">
        <v>455</v>
      </c>
      <c r="I205" t="s">
        <v>454</v>
      </c>
      <c r="J205" t="str">
        <f t="shared" si="26"/>
        <v>080205</v>
      </c>
      <c r="K205" t="s">
        <v>23</v>
      </c>
      <c r="L205" t="s">
        <v>24</v>
      </c>
      <c r="M205" t="str">
        <f t="shared" si="28"/>
        <v>1</v>
      </c>
      <c r="O205" t="str">
        <f t="shared" si="29"/>
        <v>1 </v>
      </c>
      <c r="P205">
        <v>17</v>
      </c>
      <c r="Q205" t="s">
        <v>25</v>
      </c>
    </row>
    <row r="206" spans="1:17" ht="12.75">
      <c r="A206" t="s">
        <v>17</v>
      </c>
      <c r="B206" t="s">
        <v>18</v>
      </c>
      <c r="C206" t="s">
        <v>316</v>
      </c>
      <c r="D206" t="str">
        <f>CONCATENATE("0130018310","")</f>
        <v>0130018310</v>
      </c>
      <c r="E206" t="str">
        <f>CONCATENATE("0020522001300       ","")</f>
        <v>0020522001300       </v>
      </c>
      <c r="F206" t="str">
        <f>CONCATENATE("90601034","")</f>
        <v>90601034</v>
      </c>
      <c r="G206" t="s">
        <v>452</v>
      </c>
      <c r="H206" t="s">
        <v>456</v>
      </c>
      <c r="I206" t="s">
        <v>454</v>
      </c>
      <c r="J206" t="str">
        <f t="shared" si="26"/>
        <v>080205</v>
      </c>
      <c r="K206" t="s">
        <v>23</v>
      </c>
      <c r="L206" t="s">
        <v>24</v>
      </c>
      <c r="M206" t="str">
        <f t="shared" si="28"/>
        <v>1</v>
      </c>
      <c r="O206" t="str">
        <f t="shared" si="29"/>
        <v>1 </v>
      </c>
      <c r="P206">
        <v>20.55</v>
      </c>
      <c r="Q206" t="s">
        <v>25</v>
      </c>
    </row>
    <row r="207" spans="1:17" ht="12.75">
      <c r="A207" t="s">
        <v>17</v>
      </c>
      <c r="B207" t="s">
        <v>18</v>
      </c>
      <c r="C207" t="s">
        <v>316</v>
      </c>
      <c r="D207" t="str">
        <f>CONCATENATE("0130007372","")</f>
        <v>0130007372</v>
      </c>
      <c r="E207" t="str">
        <f>CONCATENATE("0020701000020       ","")</f>
        <v>0020701000020       </v>
      </c>
      <c r="F207" t="str">
        <f>CONCATENATE("606081778","")</f>
        <v>606081778</v>
      </c>
      <c r="G207" t="s">
        <v>457</v>
      </c>
      <c r="H207" t="s">
        <v>458</v>
      </c>
      <c r="I207" t="str">
        <f>CONCATENATE("18-NOVIEMBRE-S-N-","")</f>
        <v>18-NOVIEMBRE-S-N-</v>
      </c>
      <c r="J207" t="str">
        <f t="shared" si="26"/>
        <v>080205</v>
      </c>
      <c r="K207" t="s">
        <v>23</v>
      </c>
      <c r="L207" t="s">
        <v>24</v>
      </c>
      <c r="M207" t="str">
        <f t="shared" si="28"/>
        <v>1</v>
      </c>
      <c r="O207" t="str">
        <f t="shared" si="29"/>
        <v>1 </v>
      </c>
      <c r="P207">
        <v>146.05</v>
      </c>
      <c r="Q207" t="s">
        <v>25</v>
      </c>
    </row>
    <row r="208" spans="1:17" ht="12.75">
      <c r="A208" t="s">
        <v>17</v>
      </c>
      <c r="B208" t="s">
        <v>18</v>
      </c>
      <c r="C208" t="s">
        <v>137</v>
      </c>
      <c r="D208" t="str">
        <f>CONCATENATE("0130015460","")</f>
        <v>0130015460</v>
      </c>
      <c r="E208" t="str">
        <f>CONCATENATE("0020701000228       ","")</f>
        <v>0020701000228       </v>
      </c>
      <c r="F208" t="str">
        <f>CONCATENATE("605289965","")</f>
        <v>605289965</v>
      </c>
      <c r="G208" t="s">
        <v>457</v>
      </c>
      <c r="H208" t="s">
        <v>459</v>
      </c>
      <c r="I208" t="s">
        <v>460</v>
      </c>
      <c r="J208" t="str">
        <f aca="true" t="shared" si="30" ref="J208:J217">CONCATENATE("080207","")</f>
        <v>080207</v>
      </c>
      <c r="K208" t="s">
        <v>23</v>
      </c>
      <c r="L208" t="s">
        <v>24</v>
      </c>
      <c r="M208" t="str">
        <f t="shared" si="28"/>
        <v>1</v>
      </c>
      <c r="O208" t="str">
        <f t="shared" si="29"/>
        <v>1 </v>
      </c>
      <c r="P208">
        <v>43.25</v>
      </c>
      <c r="Q208" t="s">
        <v>25</v>
      </c>
    </row>
    <row r="209" spans="1:17" ht="12.75">
      <c r="A209" t="s">
        <v>17</v>
      </c>
      <c r="B209" t="s">
        <v>18</v>
      </c>
      <c r="C209" t="s">
        <v>137</v>
      </c>
      <c r="D209" t="str">
        <f>CONCATENATE("0130020256","")</f>
        <v>0130020256</v>
      </c>
      <c r="E209" t="str">
        <f>CONCATENATE("0020701000237       ","")</f>
        <v>0020701000237       </v>
      </c>
      <c r="F209" t="str">
        <f>CONCATENATE("606133292","")</f>
        <v>606133292</v>
      </c>
      <c r="G209" t="s">
        <v>457</v>
      </c>
      <c r="H209" t="s">
        <v>461</v>
      </c>
      <c r="I209" t="s">
        <v>462</v>
      </c>
      <c r="J209" t="str">
        <f t="shared" si="30"/>
        <v>080207</v>
      </c>
      <c r="K209" t="s">
        <v>23</v>
      </c>
      <c r="L209" t="s">
        <v>24</v>
      </c>
      <c r="M209" t="str">
        <f t="shared" si="28"/>
        <v>1</v>
      </c>
      <c r="O209" t="str">
        <f t="shared" si="29"/>
        <v>1 </v>
      </c>
      <c r="P209">
        <v>17.55</v>
      </c>
      <c r="Q209" t="s">
        <v>25</v>
      </c>
    </row>
    <row r="210" spans="1:17" ht="12.75">
      <c r="A210" t="s">
        <v>17</v>
      </c>
      <c r="B210" t="s">
        <v>18</v>
      </c>
      <c r="C210" t="s">
        <v>137</v>
      </c>
      <c r="D210" t="str">
        <f>CONCATENATE("0040037632","")</f>
        <v>0040037632</v>
      </c>
      <c r="E210" t="str">
        <f>CONCATENATE("0020701000487       ","")</f>
        <v>0020701000487       </v>
      </c>
      <c r="F210" t="str">
        <f>CONCATENATE("607054387","")</f>
        <v>607054387</v>
      </c>
      <c r="G210" t="s">
        <v>457</v>
      </c>
      <c r="H210" t="s">
        <v>461</v>
      </c>
      <c r="I210" t="s">
        <v>463</v>
      </c>
      <c r="J210" t="str">
        <f t="shared" si="30"/>
        <v>080207</v>
      </c>
      <c r="K210" t="s">
        <v>23</v>
      </c>
      <c r="L210" t="s">
        <v>24</v>
      </c>
      <c r="M210" t="str">
        <f t="shared" si="28"/>
        <v>1</v>
      </c>
      <c r="O210" t="str">
        <f t="shared" si="29"/>
        <v>1 </v>
      </c>
      <c r="P210">
        <v>15.1</v>
      </c>
      <c r="Q210" t="s">
        <v>25</v>
      </c>
    </row>
    <row r="211" spans="1:17" ht="12.75">
      <c r="A211" t="s">
        <v>17</v>
      </c>
      <c r="B211" t="s">
        <v>18</v>
      </c>
      <c r="C211" t="s">
        <v>137</v>
      </c>
      <c r="D211" t="str">
        <f>CONCATENATE("0130001656","")</f>
        <v>0130001656</v>
      </c>
      <c r="E211" t="str">
        <f>CONCATENATE("0020701000490       ","")</f>
        <v>0020701000490       </v>
      </c>
      <c r="F211" t="str">
        <f>CONCATENATE("00707117","")</f>
        <v>00707117</v>
      </c>
      <c r="G211" t="s">
        <v>457</v>
      </c>
      <c r="H211" t="s">
        <v>464</v>
      </c>
      <c r="I211" t="s">
        <v>465</v>
      </c>
      <c r="J211" t="str">
        <f t="shared" si="30"/>
        <v>080207</v>
      </c>
      <c r="K211" t="s">
        <v>23</v>
      </c>
      <c r="L211" t="s">
        <v>24</v>
      </c>
      <c r="M211" t="str">
        <f t="shared" si="28"/>
        <v>1</v>
      </c>
      <c r="O211" t="str">
        <f t="shared" si="29"/>
        <v>1 </v>
      </c>
      <c r="P211">
        <v>26.55</v>
      </c>
      <c r="Q211" t="s">
        <v>25</v>
      </c>
    </row>
    <row r="212" spans="1:17" ht="12.75">
      <c r="A212" t="s">
        <v>17</v>
      </c>
      <c r="B212" t="s">
        <v>18</v>
      </c>
      <c r="C212" t="s">
        <v>137</v>
      </c>
      <c r="D212" t="str">
        <f>CONCATENATE("0040040797","")</f>
        <v>0040040797</v>
      </c>
      <c r="E212" t="str">
        <f>CONCATENATE("0020701000888       ","")</f>
        <v>0020701000888       </v>
      </c>
      <c r="F212" t="str">
        <f>CONCATENATE("605958783","")</f>
        <v>605958783</v>
      </c>
      <c r="G212" t="s">
        <v>466</v>
      </c>
      <c r="H212" t="s">
        <v>467</v>
      </c>
      <c r="I212" t="s">
        <v>468</v>
      </c>
      <c r="J212" t="str">
        <f t="shared" si="30"/>
        <v>080207</v>
      </c>
      <c r="K212" t="s">
        <v>23</v>
      </c>
      <c r="L212" t="s">
        <v>24</v>
      </c>
      <c r="M212" t="str">
        <f t="shared" si="28"/>
        <v>1</v>
      </c>
      <c r="O212" t="str">
        <f t="shared" si="29"/>
        <v>1 </v>
      </c>
      <c r="P212">
        <v>11.45</v>
      </c>
      <c r="Q212" t="s">
        <v>25</v>
      </c>
    </row>
    <row r="213" spans="1:17" ht="12.75">
      <c r="A213" t="s">
        <v>17</v>
      </c>
      <c r="B213" t="s">
        <v>18</v>
      </c>
      <c r="C213" t="s">
        <v>137</v>
      </c>
      <c r="D213" t="str">
        <f>CONCATENATE("0130001689","")</f>
        <v>0130001689</v>
      </c>
      <c r="E213" t="str">
        <f>CONCATENATE("0020703000400       ","")</f>
        <v>0020703000400       </v>
      </c>
      <c r="F213" t="str">
        <f>CONCATENATE("606601088","")</f>
        <v>606601088</v>
      </c>
      <c r="G213" t="s">
        <v>457</v>
      </c>
      <c r="H213" t="s">
        <v>469</v>
      </c>
      <c r="I213" t="s">
        <v>470</v>
      </c>
      <c r="J213" t="str">
        <f t="shared" si="30"/>
        <v>080207</v>
      </c>
      <c r="K213" t="s">
        <v>23</v>
      </c>
      <c r="L213" t="s">
        <v>24</v>
      </c>
      <c r="M213" t="str">
        <f t="shared" si="28"/>
        <v>1</v>
      </c>
      <c r="O213" t="str">
        <f t="shared" si="29"/>
        <v>1 </v>
      </c>
      <c r="P213">
        <v>57.5</v>
      </c>
      <c r="Q213" t="s">
        <v>25</v>
      </c>
    </row>
    <row r="214" spans="1:17" ht="12.75">
      <c r="A214" t="s">
        <v>17</v>
      </c>
      <c r="B214" t="s">
        <v>18</v>
      </c>
      <c r="C214" t="s">
        <v>137</v>
      </c>
      <c r="D214" t="str">
        <f>CONCATENATE("0130014931","")</f>
        <v>0130014931</v>
      </c>
      <c r="E214" t="str">
        <f>CONCATENATE("0020720001910       ","")</f>
        <v>0020720001910       </v>
      </c>
      <c r="F214" t="str">
        <f>CONCATENATE("606589957","")</f>
        <v>606589957</v>
      </c>
      <c r="G214" t="s">
        <v>471</v>
      </c>
      <c r="H214" t="s">
        <v>472</v>
      </c>
      <c r="I214" t="s">
        <v>473</v>
      </c>
      <c r="J214" t="str">
        <f t="shared" si="30"/>
        <v>080207</v>
      </c>
      <c r="K214" t="s">
        <v>23</v>
      </c>
      <c r="L214" t="s">
        <v>24</v>
      </c>
      <c r="M214" t="str">
        <f t="shared" si="28"/>
        <v>1</v>
      </c>
      <c r="O214" t="str">
        <f t="shared" si="29"/>
        <v>1 </v>
      </c>
      <c r="P214">
        <v>19.5</v>
      </c>
      <c r="Q214" t="s">
        <v>25</v>
      </c>
    </row>
    <row r="215" spans="1:17" ht="12.75">
      <c r="A215" t="s">
        <v>17</v>
      </c>
      <c r="B215" t="s">
        <v>18</v>
      </c>
      <c r="C215" t="s">
        <v>137</v>
      </c>
      <c r="D215" t="str">
        <f>CONCATENATE("0130011093","")</f>
        <v>0130011093</v>
      </c>
      <c r="E215" t="str">
        <f>CONCATENATE("0020721000322       ","")</f>
        <v>0020721000322       </v>
      </c>
      <c r="F215" t="str">
        <f>CONCATENATE("0605770978","")</f>
        <v>0605770978</v>
      </c>
      <c r="G215" t="s">
        <v>474</v>
      </c>
      <c r="H215" t="s">
        <v>475</v>
      </c>
      <c r="I215" t="s">
        <v>476</v>
      </c>
      <c r="J215" t="str">
        <f t="shared" si="30"/>
        <v>080207</v>
      </c>
      <c r="K215" t="s">
        <v>23</v>
      </c>
      <c r="L215" t="s">
        <v>24</v>
      </c>
      <c r="M215" t="str">
        <f t="shared" si="28"/>
        <v>1</v>
      </c>
      <c r="O215" t="str">
        <f t="shared" si="29"/>
        <v>1 </v>
      </c>
      <c r="P215">
        <v>11.55</v>
      </c>
      <c r="Q215" t="s">
        <v>25</v>
      </c>
    </row>
    <row r="216" spans="1:17" ht="12.75">
      <c r="A216" t="s">
        <v>17</v>
      </c>
      <c r="B216" t="s">
        <v>18</v>
      </c>
      <c r="C216" t="s">
        <v>137</v>
      </c>
      <c r="D216" t="str">
        <f>CONCATENATE("0130009352","")</f>
        <v>0130009352</v>
      </c>
      <c r="E216" t="str">
        <f>CONCATENATE("0020722000154       ","")</f>
        <v>0020722000154       </v>
      </c>
      <c r="F216" t="str">
        <f>CONCATENATE("605117786","")</f>
        <v>605117786</v>
      </c>
      <c r="G216" t="s">
        <v>477</v>
      </c>
      <c r="H216" t="s">
        <v>478</v>
      </c>
      <c r="I216" t="s">
        <v>479</v>
      </c>
      <c r="J216" t="str">
        <f t="shared" si="30"/>
        <v>080207</v>
      </c>
      <c r="K216" t="s">
        <v>23</v>
      </c>
      <c r="L216" t="s">
        <v>24</v>
      </c>
      <c r="M216" t="str">
        <f t="shared" si="28"/>
        <v>1</v>
      </c>
      <c r="O216" t="str">
        <f t="shared" si="29"/>
        <v>1 </v>
      </c>
      <c r="P216">
        <v>80.2</v>
      </c>
      <c r="Q216" t="s">
        <v>25</v>
      </c>
    </row>
    <row r="217" spans="1:17" ht="12.75">
      <c r="A217" t="s">
        <v>17</v>
      </c>
      <c r="B217" t="s">
        <v>18</v>
      </c>
      <c r="C217" t="s">
        <v>137</v>
      </c>
      <c r="D217" t="str">
        <f>CONCATENATE("0130020001","")</f>
        <v>0130020001</v>
      </c>
      <c r="E217" t="str">
        <f>CONCATENATE("0020723000258       ","")</f>
        <v>0020723000258       </v>
      </c>
      <c r="F217" t="str">
        <f>CONCATENATE("606133890","")</f>
        <v>606133890</v>
      </c>
      <c r="G217" t="s">
        <v>477</v>
      </c>
      <c r="H217" t="s">
        <v>480</v>
      </c>
      <c r="I217" t="s">
        <v>481</v>
      </c>
      <c r="J217" t="str">
        <f t="shared" si="30"/>
        <v>080207</v>
      </c>
      <c r="K217" t="s">
        <v>23</v>
      </c>
      <c r="L217" t="s">
        <v>24</v>
      </c>
      <c r="M217" t="str">
        <f t="shared" si="28"/>
        <v>1</v>
      </c>
      <c r="O217" t="str">
        <f t="shared" si="29"/>
        <v>1 </v>
      </c>
      <c r="P217">
        <v>12.65</v>
      </c>
      <c r="Q217" t="s">
        <v>25</v>
      </c>
    </row>
    <row r="218" spans="1:17" ht="12.75">
      <c r="A218" t="s">
        <v>17</v>
      </c>
      <c r="B218" t="s">
        <v>18</v>
      </c>
      <c r="C218" t="s">
        <v>482</v>
      </c>
      <c r="D218" t="str">
        <f>CONCATENATE("0130013036","")</f>
        <v>0130013036</v>
      </c>
      <c r="E218" t="str">
        <f>CONCATENATE("0050101000133       ","")</f>
        <v>0050101000133       </v>
      </c>
      <c r="F218" t="str">
        <f>CONCATENATE("606603454","")</f>
        <v>606603454</v>
      </c>
      <c r="G218" t="s">
        <v>293</v>
      </c>
      <c r="H218" t="s">
        <v>483</v>
      </c>
      <c r="I218" t="s">
        <v>484</v>
      </c>
      <c r="J218" t="str">
        <f aca="true" t="shared" si="31" ref="J218:J243">CONCATENATE("080501","")</f>
        <v>080501</v>
      </c>
      <c r="K218" t="s">
        <v>23</v>
      </c>
      <c r="L218" t="s">
        <v>24</v>
      </c>
      <c r="M218" t="str">
        <f t="shared" si="28"/>
        <v>1</v>
      </c>
      <c r="O218" t="str">
        <f>CONCATENATE("2 ","")</f>
        <v>2 </v>
      </c>
      <c r="P218">
        <v>70.8</v>
      </c>
      <c r="Q218" t="s">
        <v>25</v>
      </c>
    </row>
    <row r="219" spans="1:17" ht="12.75">
      <c r="A219" t="s">
        <v>17</v>
      </c>
      <c r="B219" t="s">
        <v>18</v>
      </c>
      <c r="C219" t="s">
        <v>482</v>
      </c>
      <c r="D219" t="str">
        <f>CONCATENATE("0130001942","")</f>
        <v>0130001942</v>
      </c>
      <c r="E219" t="str">
        <f>CONCATENATE("0050101000200       ","")</f>
        <v>0050101000200       </v>
      </c>
      <c r="F219" t="str">
        <f>CONCATENATE("605118179","")</f>
        <v>605118179</v>
      </c>
      <c r="G219" t="s">
        <v>293</v>
      </c>
      <c r="H219" t="s">
        <v>485</v>
      </c>
      <c r="I219" t="s">
        <v>486</v>
      </c>
      <c r="J219" t="str">
        <f t="shared" si="31"/>
        <v>080501</v>
      </c>
      <c r="K219" t="s">
        <v>23</v>
      </c>
      <c r="L219" t="s">
        <v>24</v>
      </c>
      <c r="M219" t="str">
        <f t="shared" si="28"/>
        <v>1</v>
      </c>
      <c r="O219" t="str">
        <f>CONCATENATE("2 ","")</f>
        <v>2 </v>
      </c>
      <c r="P219">
        <v>311.75</v>
      </c>
      <c r="Q219" t="s">
        <v>25</v>
      </c>
    </row>
    <row r="220" spans="1:17" ht="12.75">
      <c r="A220" t="s">
        <v>17</v>
      </c>
      <c r="B220" t="s">
        <v>18</v>
      </c>
      <c r="C220" t="s">
        <v>482</v>
      </c>
      <c r="D220" t="str">
        <f>CONCATENATE("0040040313","")</f>
        <v>0040040313</v>
      </c>
      <c r="E220" t="str">
        <f>CONCATENATE("0050101000227       ","")</f>
        <v>0050101000227       </v>
      </c>
      <c r="F220" t="str">
        <f>CONCATENATE("606845800","")</f>
        <v>606845800</v>
      </c>
      <c r="G220" t="s">
        <v>487</v>
      </c>
      <c r="H220" t="s">
        <v>488</v>
      </c>
      <c r="I220" t="s">
        <v>468</v>
      </c>
      <c r="J220" t="str">
        <f t="shared" si="31"/>
        <v>080501</v>
      </c>
      <c r="K220" t="s">
        <v>23</v>
      </c>
      <c r="L220" t="s">
        <v>24</v>
      </c>
      <c r="M220" t="str">
        <f t="shared" si="28"/>
        <v>1</v>
      </c>
      <c r="O220" t="str">
        <f>CONCATENATE("1 ","")</f>
        <v>1 </v>
      </c>
      <c r="P220">
        <v>64.2</v>
      </c>
      <c r="Q220" t="s">
        <v>25</v>
      </c>
    </row>
    <row r="221" spans="1:17" ht="12.75">
      <c r="A221" t="s">
        <v>17</v>
      </c>
      <c r="B221" t="s">
        <v>18</v>
      </c>
      <c r="C221" t="s">
        <v>482</v>
      </c>
      <c r="D221" t="str">
        <f>CONCATENATE("0130009779","")</f>
        <v>0130009779</v>
      </c>
      <c r="E221" t="str">
        <f>CONCATENATE("0050101000386       ","")</f>
        <v>0050101000386       </v>
      </c>
      <c r="F221" t="str">
        <f>CONCATENATE("605740669","")</f>
        <v>605740669</v>
      </c>
      <c r="G221" t="s">
        <v>487</v>
      </c>
      <c r="H221" t="s">
        <v>489</v>
      </c>
      <c r="I221" t="s">
        <v>490</v>
      </c>
      <c r="J221" t="str">
        <f t="shared" si="31"/>
        <v>080501</v>
      </c>
      <c r="K221" t="s">
        <v>23</v>
      </c>
      <c r="L221" t="s">
        <v>24</v>
      </c>
      <c r="M221" t="str">
        <f t="shared" si="28"/>
        <v>1</v>
      </c>
      <c r="O221" t="str">
        <f>CONCATENATE("2 ","")</f>
        <v>2 </v>
      </c>
      <c r="P221">
        <v>425.7</v>
      </c>
      <c r="Q221" t="s">
        <v>25</v>
      </c>
    </row>
    <row r="222" spans="1:17" ht="12.75">
      <c r="A222" t="s">
        <v>17</v>
      </c>
      <c r="B222" t="s">
        <v>18</v>
      </c>
      <c r="C222" t="s">
        <v>482</v>
      </c>
      <c r="D222" t="str">
        <f>CONCATENATE("0130009032","")</f>
        <v>0130009032</v>
      </c>
      <c r="E222" t="str">
        <f>CONCATENATE("0050101000465       ","")</f>
        <v>0050101000465       </v>
      </c>
      <c r="F222" t="str">
        <f>CONCATENATE("606670462","")</f>
        <v>606670462</v>
      </c>
      <c r="G222" t="s">
        <v>487</v>
      </c>
      <c r="H222" t="s">
        <v>491</v>
      </c>
      <c r="I222" t="s">
        <v>492</v>
      </c>
      <c r="J222" t="str">
        <f t="shared" si="31"/>
        <v>080501</v>
      </c>
      <c r="K222" t="s">
        <v>23</v>
      </c>
      <c r="L222" t="s">
        <v>24</v>
      </c>
      <c r="M222" t="str">
        <f aca="true" t="shared" si="32" ref="M222:M245">CONCATENATE("1","")</f>
        <v>1</v>
      </c>
      <c r="O222" t="str">
        <f>CONCATENATE("1 ","")</f>
        <v>1 </v>
      </c>
      <c r="P222">
        <v>307.55</v>
      </c>
      <c r="Q222" t="s">
        <v>25</v>
      </c>
    </row>
    <row r="223" spans="1:17" ht="12.75">
      <c r="A223" t="s">
        <v>17</v>
      </c>
      <c r="B223" t="s">
        <v>18</v>
      </c>
      <c r="C223" t="s">
        <v>482</v>
      </c>
      <c r="D223" t="str">
        <f>CONCATENATE("0130002003","")</f>
        <v>0130002003</v>
      </c>
      <c r="E223" t="str">
        <f>CONCATENATE("0050101000570       ","")</f>
        <v>0050101000570       </v>
      </c>
      <c r="F223" t="str">
        <f>CONCATENATE("605285151","")</f>
        <v>605285151</v>
      </c>
      <c r="G223" t="s">
        <v>293</v>
      </c>
      <c r="H223" t="s">
        <v>493</v>
      </c>
      <c r="I223" t="s">
        <v>258</v>
      </c>
      <c r="J223" t="str">
        <f t="shared" si="31"/>
        <v>080501</v>
      </c>
      <c r="K223" t="s">
        <v>23</v>
      </c>
      <c r="L223" t="s">
        <v>24</v>
      </c>
      <c r="M223" t="str">
        <f t="shared" si="32"/>
        <v>1</v>
      </c>
      <c r="O223" t="str">
        <f>CONCATENATE("1 ","")</f>
        <v>1 </v>
      </c>
      <c r="P223">
        <v>23</v>
      </c>
      <c r="Q223" t="s">
        <v>25</v>
      </c>
    </row>
    <row r="224" spans="1:17" ht="12.75">
      <c r="A224" t="s">
        <v>17</v>
      </c>
      <c r="B224" t="s">
        <v>18</v>
      </c>
      <c r="C224" t="s">
        <v>482</v>
      </c>
      <c r="D224" t="str">
        <f>CONCATENATE("0130002004","")</f>
        <v>0130002004</v>
      </c>
      <c r="E224" t="str">
        <f>CONCATENATE("0050101000575       ","")</f>
        <v>0050101000575       </v>
      </c>
      <c r="F224" t="str">
        <f>CONCATENATE("605118183","")</f>
        <v>605118183</v>
      </c>
      <c r="G224" t="s">
        <v>293</v>
      </c>
      <c r="H224" t="s">
        <v>494</v>
      </c>
      <c r="I224" t="s">
        <v>495</v>
      </c>
      <c r="J224" t="str">
        <f t="shared" si="31"/>
        <v>080501</v>
      </c>
      <c r="K224" t="s">
        <v>23</v>
      </c>
      <c r="L224" t="s">
        <v>24</v>
      </c>
      <c r="M224" t="str">
        <f t="shared" si="32"/>
        <v>1</v>
      </c>
      <c r="O224" t="str">
        <f>CONCATENATE("2 ","")</f>
        <v>2 </v>
      </c>
      <c r="P224">
        <v>91.75</v>
      </c>
      <c r="Q224" t="s">
        <v>25</v>
      </c>
    </row>
    <row r="225" spans="1:17" ht="12.75">
      <c r="A225" t="s">
        <v>17</v>
      </c>
      <c r="B225" t="s">
        <v>18</v>
      </c>
      <c r="C225" t="s">
        <v>482</v>
      </c>
      <c r="D225" t="str">
        <f>CONCATENATE("0130002008","")</f>
        <v>0130002008</v>
      </c>
      <c r="E225" t="str">
        <f>CONCATENATE("0050101000595       ","")</f>
        <v>0050101000595       </v>
      </c>
      <c r="F225" t="str">
        <f>CONCATENATE("605118196","")</f>
        <v>605118196</v>
      </c>
      <c r="G225" t="s">
        <v>496</v>
      </c>
      <c r="H225" t="s">
        <v>497</v>
      </c>
      <c r="I225" t="s">
        <v>221</v>
      </c>
      <c r="J225" t="str">
        <f t="shared" si="31"/>
        <v>080501</v>
      </c>
      <c r="K225" t="s">
        <v>23</v>
      </c>
      <c r="L225" t="s">
        <v>24</v>
      </c>
      <c r="M225" t="str">
        <f t="shared" si="32"/>
        <v>1</v>
      </c>
      <c r="O225" t="str">
        <f>CONCATENATE("1 ","")</f>
        <v>1 </v>
      </c>
      <c r="P225">
        <v>95.8</v>
      </c>
      <c r="Q225" t="s">
        <v>25</v>
      </c>
    </row>
    <row r="226" spans="1:17" ht="12.75">
      <c r="A226" t="s">
        <v>17</v>
      </c>
      <c r="B226" t="s">
        <v>18</v>
      </c>
      <c r="C226" t="s">
        <v>482</v>
      </c>
      <c r="D226" t="str">
        <f>CONCATENATE("0130002011","")</f>
        <v>0130002011</v>
      </c>
      <c r="E226" t="str">
        <f>CONCATENATE("0050101000620       ","")</f>
        <v>0050101000620       </v>
      </c>
      <c r="F226" t="str">
        <f>CONCATENATE("605290793","")</f>
        <v>605290793</v>
      </c>
      <c r="G226" t="s">
        <v>496</v>
      </c>
      <c r="H226" t="s">
        <v>498</v>
      </c>
      <c r="I226" t="s">
        <v>221</v>
      </c>
      <c r="J226" t="str">
        <f t="shared" si="31"/>
        <v>080501</v>
      </c>
      <c r="K226" t="s">
        <v>23</v>
      </c>
      <c r="L226" t="s">
        <v>24</v>
      </c>
      <c r="M226" t="str">
        <f t="shared" si="32"/>
        <v>1</v>
      </c>
      <c r="O226" t="str">
        <f>CONCATENATE("1 ","")</f>
        <v>1 </v>
      </c>
      <c r="P226">
        <v>11.5</v>
      </c>
      <c r="Q226" t="s">
        <v>25</v>
      </c>
    </row>
    <row r="227" spans="1:17" ht="12.75">
      <c r="A227" t="s">
        <v>17</v>
      </c>
      <c r="B227" t="s">
        <v>18</v>
      </c>
      <c r="C227" t="s">
        <v>482</v>
      </c>
      <c r="D227" t="str">
        <f>CONCATENATE("0130019415","")</f>
        <v>0130019415</v>
      </c>
      <c r="E227" t="str">
        <f>CONCATENATE("0050101000727       ","")</f>
        <v>0050101000727       </v>
      </c>
      <c r="F227" t="str">
        <f>CONCATENATE("605932409","")</f>
        <v>605932409</v>
      </c>
      <c r="G227" t="s">
        <v>487</v>
      </c>
      <c r="H227" t="s">
        <v>499</v>
      </c>
      <c r="I227" t="s">
        <v>500</v>
      </c>
      <c r="J227" t="str">
        <f t="shared" si="31"/>
        <v>080501</v>
      </c>
      <c r="K227" t="s">
        <v>23</v>
      </c>
      <c r="L227" t="s">
        <v>24</v>
      </c>
      <c r="M227" t="str">
        <f t="shared" si="32"/>
        <v>1</v>
      </c>
      <c r="O227" t="str">
        <f>CONCATENATE("1 ","")</f>
        <v>1 </v>
      </c>
      <c r="P227">
        <v>60.45</v>
      </c>
      <c r="Q227" t="s">
        <v>25</v>
      </c>
    </row>
    <row r="228" spans="1:17" ht="12.75">
      <c r="A228" t="s">
        <v>17</v>
      </c>
      <c r="B228" t="s">
        <v>18</v>
      </c>
      <c r="C228" t="s">
        <v>482</v>
      </c>
      <c r="D228" t="str">
        <f>CONCATENATE("0130002031","")</f>
        <v>0130002031</v>
      </c>
      <c r="E228" t="str">
        <f>CONCATENATE("0050101000750       ","")</f>
        <v>0050101000750       </v>
      </c>
      <c r="F228" t="str">
        <f>CONCATENATE("605290790","")</f>
        <v>605290790</v>
      </c>
      <c r="G228" t="s">
        <v>487</v>
      </c>
      <c r="H228" t="s">
        <v>501</v>
      </c>
      <c r="I228" t="s">
        <v>502</v>
      </c>
      <c r="J228" t="str">
        <f t="shared" si="31"/>
        <v>080501</v>
      </c>
      <c r="K228" t="s">
        <v>23</v>
      </c>
      <c r="L228" t="s">
        <v>24</v>
      </c>
      <c r="M228" t="str">
        <f t="shared" si="32"/>
        <v>1</v>
      </c>
      <c r="O228" t="str">
        <f>CONCATENATE("2 ","")</f>
        <v>2 </v>
      </c>
      <c r="P228">
        <v>139.8</v>
      </c>
      <c r="Q228" t="s">
        <v>25</v>
      </c>
    </row>
    <row r="229" spans="1:17" ht="12.75">
      <c r="A229" t="s">
        <v>17</v>
      </c>
      <c r="B229" t="s">
        <v>18</v>
      </c>
      <c r="C229" t="s">
        <v>482</v>
      </c>
      <c r="D229" t="str">
        <f>CONCATENATE("0130008075","")</f>
        <v>0130008075</v>
      </c>
      <c r="E229" t="str">
        <f>CONCATENATE("0050101000790       ","")</f>
        <v>0050101000790       </v>
      </c>
      <c r="F229" t="str">
        <f>CONCATENATE("606603477","")</f>
        <v>606603477</v>
      </c>
      <c r="G229" t="s">
        <v>487</v>
      </c>
      <c r="H229" t="s">
        <v>503</v>
      </c>
      <c r="I229" t="s">
        <v>258</v>
      </c>
      <c r="J229" t="str">
        <f t="shared" si="31"/>
        <v>080501</v>
      </c>
      <c r="K229" t="s">
        <v>23</v>
      </c>
      <c r="L229" t="s">
        <v>24</v>
      </c>
      <c r="M229" t="str">
        <f t="shared" si="32"/>
        <v>1</v>
      </c>
      <c r="O229" t="str">
        <f>CONCATENATE("1 ","")</f>
        <v>1 </v>
      </c>
      <c r="P229">
        <v>753.25</v>
      </c>
      <c r="Q229" t="s">
        <v>25</v>
      </c>
    </row>
    <row r="230" spans="1:17" ht="12.75">
      <c r="A230" t="s">
        <v>17</v>
      </c>
      <c r="B230" t="s">
        <v>18</v>
      </c>
      <c r="C230" t="s">
        <v>482</v>
      </c>
      <c r="D230" t="str">
        <f>CONCATENATE("0130010764","")</f>
        <v>0130010764</v>
      </c>
      <c r="E230" t="str">
        <f>CONCATENATE("0050102000076       ","")</f>
        <v>0050102000076       </v>
      </c>
      <c r="F230" t="str">
        <f>CONCATENATE("605627527","")</f>
        <v>605627527</v>
      </c>
      <c r="G230" t="s">
        <v>496</v>
      </c>
      <c r="H230" t="s">
        <v>504</v>
      </c>
      <c r="I230" t="s">
        <v>505</v>
      </c>
      <c r="J230" t="str">
        <f t="shared" si="31"/>
        <v>080501</v>
      </c>
      <c r="K230" t="s">
        <v>23</v>
      </c>
      <c r="L230" t="s">
        <v>24</v>
      </c>
      <c r="M230" t="str">
        <f t="shared" si="32"/>
        <v>1</v>
      </c>
      <c r="O230" t="str">
        <f>CONCATENATE("1 ","")</f>
        <v>1 </v>
      </c>
      <c r="P230">
        <v>16.85</v>
      </c>
      <c r="Q230" t="s">
        <v>25</v>
      </c>
    </row>
    <row r="231" spans="1:17" ht="12.75">
      <c r="A231" t="s">
        <v>17</v>
      </c>
      <c r="B231" t="s">
        <v>18</v>
      </c>
      <c r="C231" t="s">
        <v>482</v>
      </c>
      <c r="D231" t="str">
        <f>CONCATENATE("0130015731","")</f>
        <v>0130015731</v>
      </c>
      <c r="E231" t="str">
        <f>CONCATENATE("0050102000189       ","")</f>
        <v>0050102000189       </v>
      </c>
      <c r="F231" t="str">
        <f>CONCATENATE("605287837","")</f>
        <v>605287837</v>
      </c>
      <c r="G231" t="s">
        <v>496</v>
      </c>
      <c r="H231" t="s">
        <v>506</v>
      </c>
      <c r="I231" t="s">
        <v>150</v>
      </c>
      <c r="J231" t="str">
        <f t="shared" si="31"/>
        <v>080501</v>
      </c>
      <c r="K231" t="s">
        <v>23</v>
      </c>
      <c r="L231" t="s">
        <v>24</v>
      </c>
      <c r="M231" t="str">
        <f t="shared" si="32"/>
        <v>1</v>
      </c>
      <c r="O231" t="str">
        <f>CONCATENATE("2 ","")</f>
        <v>2 </v>
      </c>
      <c r="P231">
        <v>72.5</v>
      </c>
      <c r="Q231" t="s">
        <v>25</v>
      </c>
    </row>
    <row r="232" spans="1:17" ht="12.75">
      <c r="A232" t="s">
        <v>17</v>
      </c>
      <c r="B232" t="s">
        <v>18</v>
      </c>
      <c r="C232" t="s">
        <v>482</v>
      </c>
      <c r="D232" t="str">
        <f>CONCATENATE("0130008221","")</f>
        <v>0130008221</v>
      </c>
      <c r="E232" t="str">
        <f>CONCATENATE("0050102000223       ","")</f>
        <v>0050102000223       </v>
      </c>
      <c r="F232" t="str">
        <f>CONCATENATE("605230730","")</f>
        <v>605230730</v>
      </c>
      <c r="G232" t="s">
        <v>496</v>
      </c>
      <c r="H232" t="s">
        <v>507</v>
      </c>
      <c r="I232" t="s">
        <v>508</v>
      </c>
      <c r="J232" t="str">
        <f t="shared" si="31"/>
        <v>080501</v>
      </c>
      <c r="K232" t="s">
        <v>23</v>
      </c>
      <c r="L232" t="s">
        <v>24</v>
      </c>
      <c r="M232" t="str">
        <f t="shared" si="32"/>
        <v>1</v>
      </c>
      <c r="O232" t="str">
        <f>CONCATENATE("1 ","")</f>
        <v>1 </v>
      </c>
      <c r="P232">
        <v>1142.45</v>
      </c>
      <c r="Q232" t="s">
        <v>25</v>
      </c>
    </row>
    <row r="233" spans="1:17" ht="12.75">
      <c r="A233" t="s">
        <v>17</v>
      </c>
      <c r="B233" t="s">
        <v>18</v>
      </c>
      <c r="C233" t="s">
        <v>482</v>
      </c>
      <c r="D233" t="str">
        <f>CONCATENATE("0130013117","")</f>
        <v>0130013117</v>
      </c>
      <c r="E233" t="str">
        <f>CONCATENATE("0050102000338       ","")</f>
        <v>0050102000338       </v>
      </c>
      <c r="F233" t="str">
        <f>CONCATENATE("606603462","")</f>
        <v>606603462</v>
      </c>
      <c r="G233" t="s">
        <v>293</v>
      </c>
      <c r="H233" t="s">
        <v>509</v>
      </c>
      <c r="I233" t="s">
        <v>510</v>
      </c>
      <c r="J233" t="str">
        <f t="shared" si="31"/>
        <v>080501</v>
      </c>
      <c r="K233" t="s">
        <v>23</v>
      </c>
      <c r="L233" t="s">
        <v>24</v>
      </c>
      <c r="M233" t="str">
        <f t="shared" si="32"/>
        <v>1</v>
      </c>
      <c r="O233" t="str">
        <f>CONCATENATE("1 ","")</f>
        <v>1 </v>
      </c>
      <c r="P233">
        <v>20.95</v>
      </c>
      <c r="Q233" t="s">
        <v>25</v>
      </c>
    </row>
    <row r="234" spans="1:17" ht="12.75">
      <c r="A234" t="s">
        <v>17</v>
      </c>
      <c r="B234" t="s">
        <v>18</v>
      </c>
      <c r="C234" t="s">
        <v>482</v>
      </c>
      <c r="D234" t="str">
        <f>CONCATENATE("0130015760","")</f>
        <v>0130015760</v>
      </c>
      <c r="E234" t="str">
        <f>CONCATENATE("0050102000349       ","")</f>
        <v>0050102000349       </v>
      </c>
      <c r="F234" t="str">
        <f>CONCATENATE("606813103","")</f>
        <v>606813103</v>
      </c>
      <c r="G234" t="s">
        <v>293</v>
      </c>
      <c r="H234" t="s">
        <v>511</v>
      </c>
      <c r="I234" t="s">
        <v>512</v>
      </c>
      <c r="J234" t="str">
        <f t="shared" si="31"/>
        <v>080501</v>
      </c>
      <c r="K234" t="s">
        <v>23</v>
      </c>
      <c r="L234" t="s">
        <v>24</v>
      </c>
      <c r="M234" t="str">
        <f t="shared" si="32"/>
        <v>1</v>
      </c>
      <c r="O234" t="str">
        <f>CONCATENATE("1 ","")</f>
        <v>1 </v>
      </c>
      <c r="P234">
        <v>53.55</v>
      </c>
      <c r="Q234" t="s">
        <v>25</v>
      </c>
    </row>
    <row r="235" spans="1:17" ht="12.75">
      <c r="A235" t="s">
        <v>17</v>
      </c>
      <c r="B235" t="s">
        <v>18</v>
      </c>
      <c r="C235" t="s">
        <v>482</v>
      </c>
      <c r="D235" t="str">
        <f>CONCATENATE("0130002094","")</f>
        <v>0130002094</v>
      </c>
      <c r="E235" t="str">
        <f>CONCATENATE("0050102000355       ","")</f>
        <v>0050102000355       </v>
      </c>
      <c r="F235" t="str">
        <f>CONCATENATE("605118197","")</f>
        <v>605118197</v>
      </c>
      <c r="G235" t="s">
        <v>293</v>
      </c>
      <c r="H235" t="s">
        <v>513</v>
      </c>
      <c r="I235" t="str">
        <f>CONCATENATE("28-DE-JULIO--S-N","")</f>
        <v>28-DE-JULIO--S-N</v>
      </c>
      <c r="J235" t="str">
        <f t="shared" si="31"/>
        <v>080501</v>
      </c>
      <c r="K235" t="s">
        <v>23</v>
      </c>
      <c r="L235" t="s">
        <v>24</v>
      </c>
      <c r="M235" t="str">
        <f t="shared" si="32"/>
        <v>1</v>
      </c>
      <c r="O235" t="str">
        <f>CONCATENATE("1 ","")</f>
        <v>1 </v>
      </c>
      <c r="P235">
        <v>11.75</v>
      </c>
      <c r="Q235" t="s">
        <v>25</v>
      </c>
    </row>
    <row r="236" spans="1:17" ht="12.75">
      <c r="A236" t="s">
        <v>17</v>
      </c>
      <c r="B236" t="s">
        <v>18</v>
      </c>
      <c r="C236" t="s">
        <v>482</v>
      </c>
      <c r="D236" t="str">
        <f>CONCATENATE("0130002132","")</f>
        <v>0130002132</v>
      </c>
      <c r="E236" t="str">
        <f>CONCATENATE("0050102000700       ","")</f>
        <v>0050102000700       </v>
      </c>
      <c r="F236" t="str">
        <f>CONCATENATE("605292674","")</f>
        <v>605292674</v>
      </c>
      <c r="G236" t="s">
        <v>514</v>
      </c>
      <c r="H236" t="s">
        <v>515</v>
      </c>
      <c r="I236" t="s">
        <v>516</v>
      </c>
      <c r="J236" t="str">
        <f t="shared" si="31"/>
        <v>080501</v>
      </c>
      <c r="K236" t="s">
        <v>23</v>
      </c>
      <c r="L236" t="s">
        <v>24</v>
      </c>
      <c r="M236" t="str">
        <f t="shared" si="32"/>
        <v>1</v>
      </c>
      <c r="O236" t="str">
        <f>CONCATENATE("2 ","")</f>
        <v>2 </v>
      </c>
      <c r="P236">
        <v>23.55</v>
      </c>
      <c r="Q236" t="s">
        <v>25</v>
      </c>
    </row>
    <row r="237" spans="1:17" ht="12.75">
      <c r="A237" t="s">
        <v>17</v>
      </c>
      <c r="B237" t="s">
        <v>18</v>
      </c>
      <c r="C237" t="s">
        <v>482</v>
      </c>
      <c r="D237" t="str">
        <f>CONCATENATE("0130002139","")</f>
        <v>0130002139</v>
      </c>
      <c r="E237" t="str">
        <f>CONCATENATE("0050102000712       ","")</f>
        <v>0050102000712       </v>
      </c>
      <c r="F237" t="str">
        <f>CONCATENATE("605293939","")</f>
        <v>605293939</v>
      </c>
      <c r="G237" t="s">
        <v>293</v>
      </c>
      <c r="H237" t="s">
        <v>517</v>
      </c>
      <c r="I237" t="s">
        <v>518</v>
      </c>
      <c r="J237" t="str">
        <f t="shared" si="31"/>
        <v>080501</v>
      </c>
      <c r="K237" t="s">
        <v>23</v>
      </c>
      <c r="L237" t="s">
        <v>24</v>
      </c>
      <c r="M237" t="str">
        <f t="shared" si="32"/>
        <v>1</v>
      </c>
      <c r="O237" t="str">
        <f>CONCATENATE("1 ","")</f>
        <v>1 </v>
      </c>
      <c r="P237">
        <v>18.1</v>
      </c>
      <c r="Q237" t="s">
        <v>25</v>
      </c>
    </row>
    <row r="238" spans="1:17" ht="12.75">
      <c r="A238" t="s">
        <v>17</v>
      </c>
      <c r="B238" t="s">
        <v>18</v>
      </c>
      <c r="C238" t="s">
        <v>482</v>
      </c>
      <c r="D238" t="str">
        <f>CONCATENATE("0130016915","")</f>
        <v>0130016915</v>
      </c>
      <c r="E238" t="str">
        <f>CONCATENATE("0050102000719       ","")</f>
        <v>0050102000719       </v>
      </c>
      <c r="F238" t="str">
        <f>CONCATENATE("605621646","")</f>
        <v>605621646</v>
      </c>
      <c r="G238" t="s">
        <v>514</v>
      </c>
      <c r="H238" t="s">
        <v>519</v>
      </c>
      <c r="I238" t="s">
        <v>516</v>
      </c>
      <c r="J238" t="str">
        <f t="shared" si="31"/>
        <v>080501</v>
      </c>
      <c r="K238" t="s">
        <v>23</v>
      </c>
      <c r="L238" t="s">
        <v>24</v>
      </c>
      <c r="M238" t="str">
        <f t="shared" si="32"/>
        <v>1</v>
      </c>
      <c r="O238" t="str">
        <f>CONCATENATE("2 ","")</f>
        <v>2 </v>
      </c>
      <c r="P238">
        <v>97.65</v>
      </c>
      <c r="Q238" t="s">
        <v>25</v>
      </c>
    </row>
    <row r="239" spans="1:17" ht="12.75">
      <c r="A239" t="s">
        <v>17</v>
      </c>
      <c r="B239" t="s">
        <v>18</v>
      </c>
      <c r="C239" t="s">
        <v>482</v>
      </c>
      <c r="D239" t="str">
        <f>CONCATENATE("0130017116","")</f>
        <v>0130017116</v>
      </c>
      <c r="E239" t="str">
        <f>CONCATENATE("0050102000728       ","")</f>
        <v>0050102000728       </v>
      </c>
      <c r="F239" t="str">
        <f>CONCATENATE("605753964","")</f>
        <v>605753964</v>
      </c>
      <c r="G239" t="s">
        <v>514</v>
      </c>
      <c r="H239" t="s">
        <v>520</v>
      </c>
      <c r="I239" t="s">
        <v>521</v>
      </c>
      <c r="J239" t="str">
        <f t="shared" si="31"/>
        <v>080501</v>
      </c>
      <c r="K239" t="s">
        <v>23</v>
      </c>
      <c r="L239" t="s">
        <v>24</v>
      </c>
      <c r="M239" t="str">
        <f t="shared" si="32"/>
        <v>1</v>
      </c>
      <c r="O239" t="str">
        <f>CONCATENATE("3 ","")</f>
        <v>3 </v>
      </c>
      <c r="P239">
        <v>107.2</v>
      </c>
      <c r="Q239" t="s">
        <v>25</v>
      </c>
    </row>
    <row r="240" spans="1:17" ht="12.75">
      <c r="A240" t="s">
        <v>17</v>
      </c>
      <c r="B240" t="s">
        <v>18</v>
      </c>
      <c r="C240" t="s">
        <v>482</v>
      </c>
      <c r="D240" t="str">
        <f>CONCATENATE("0040033906","")</f>
        <v>0040033906</v>
      </c>
      <c r="E240" t="str">
        <f>CONCATENATE("0050102000778       ","")</f>
        <v>0050102000778       </v>
      </c>
      <c r="F240" t="str">
        <f>CONCATENATE("606672460","")</f>
        <v>606672460</v>
      </c>
      <c r="G240" t="s">
        <v>514</v>
      </c>
      <c r="H240" t="s">
        <v>522</v>
      </c>
      <c r="I240" t="s">
        <v>523</v>
      </c>
      <c r="J240" t="str">
        <f t="shared" si="31"/>
        <v>080501</v>
      </c>
      <c r="K240" t="s">
        <v>23</v>
      </c>
      <c r="L240" t="s">
        <v>24</v>
      </c>
      <c r="M240" t="str">
        <f t="shared" si="32"/>
        <v>1</v>
      </c>
      <c r="O240" t="str">
        <f>CONCATENATE("1 ","")</f>
        <v>1 </v>
      </c>
      <c r="P240">
        <v>79</v>
      </c>
      <c r="Q240" t="s">
        <v>25</v>
      </c>
    </row>
    <row r="241" spans="1:17" ht="12.75">
      <c r="A241" t="s">
        <v>17</v>
      </c>
      <c r="B241" t="s">
        <v>18</v>
      </c>
      <c r="C241" t="s">
        <v>482</v>
      </c>
      <c r="D241" t="str">
        <f>CONCATENATE("0040039764","")</f>
        <v>0040039764</v>
      </c>
      <c r="E241" t="str">
        <f>CONCATENATE("0050102004353       ","")</f>
        <v>0050102004353       </v>
      </c>
      <c r="F241" t="str">
        <f>CONCATENATE("606853975","")</f>
        <v>606853975</v>
      </c>
      <c r="G241" t="s">
        <v>293</v>
      </c>
      <c r="H241" t="s">
        <v>524</v>
      </c>
      <c r="I241" t="s">
        <v>525</v>
      </c>
      <c r="J241" t="str">
        <f t="shared" si="31"/>
        <v>080501</v>
      </c>
      <c r="K241" t="s">
        <v>23</v>
      </c>
      <c r="L241" t="s">
        <v>24</v>
      </c>
      <c r="M241" t="str">
        <f t="shared" si="32"/>
        <v>1</v>
      </c>
      <c r="O241" t="str">
        <f>CONCATENATE("2 ","")</f>
        <v>2 </v>
      </c>
      <c r="P241">
        <v>34.1</v>
      </c>
      <c r="Q241" t="s">
        <v>25</v>
      </c>
    </row>
    <row r="242" spans="1:17" ht="12.75">
      <c r="A242" t="s">
        <v>17</v>
      </c>
      <c r="B242" t="s">
        <v>18</v>
      </c>
      <c r="C242" t="s">
        <v>482</v>
      </c>
      <c r="D242" t="str">
        <f>CONCATENATE("0130019910","")</f>
        <v>0130019910</v>
      </c>
      <c r="E242" t="str">
        <f>CONCATENATE("0050102030640       ","")</f>
        <v>0050102030640       </v>
      </c>
      <c r="F242" t="str">
        <f>CONCATENATE("606033318","")</f>
        <v>606033318</v>
      </c>
      <c r="G242" t="s">
        <v>514</v>
      </c>
      <c r="H242" t="s">
        <v>526</v>
      </c>
      <c r="I242" t="s">
        <v>527</v>
      </c>
      <c r="J242" t="str">
        <f t="shared" si="31"/>
        <v>080501</v>
      </c>
      <c r="K242" t="s">
        <v>23</v>
      </c>
      <c r="L242" t="s">
        <v>24</v>
      </c>
      <c r="M242" t="str">
        <f t="shared" si="32"/>
        <v>1</v>
      </c>
      <c r="O242" t="str">
        <f>CONCATENATE("1 ","")</f>
        <v>1 </v>
      </c>
      <c r="P242">
        <v>11.5</v>
      </c>
      <c r="Q242" t="s">
        <v>25</v>
      </c>
    </row>
    <row r="243" spans="1:17" ht="12.75">
      <c r="A243" t="s">
        <v>17</v>
      </c>
      <c r="B243" t="s">
        <v>18</v>
      </c>
      <c r="C243" t="s">
        <v>482</v>
      </c>
      <c r="D243" t="str">
        <f>CONCATENATE("0130019936","")</f>
        <v>0130019936</v>
      </c>
      <c r="E243" t="str">
        <f>CONCATENATE("0050102030656       ","")</f>
        <v>0050102030656       </v>
      </c>
      <c r="F243" t="str">
        <f>CONCATENATE("606033317","")</f>
        <v>606033317</v>
      </c>
      <c r="G243" t="s">
        <v>514</v>
      </c>
      <c r="H243" t="s">
        <v>528</v>
      </c>
      <c r="I243" t="s">
        <v>529</v>
      </c>
      <c r="J243" t="str">
        <f t="shared" si="31"/>
        <v>080501</v>
      </c>
      <c r="K243" t="s">
        <v>23</v>
      </c>
      <c r="L243" t="s">
        <v>24</v>
      </c>
      <c r="M243" t="str">
        <f t="shared" si="32"/>
        <v>1</v>
      </c>
      <c r="O243" t="str">
        <f>CONCATENATE("3 ","")</f>
        <v>3 </v>
      </c>
      <c r="P243">
        <v>23.2</v>
      </c>
      <c r="Q243" t="s">
        <v>25</v>
      </c>
    </row>
    <row r="244" spans="1:17" ht="12.75">
      <c r="A244" t="s">
        <v>17</v>
      </c>
      <c r="B244" t="s">
        <v>18</v>
      </c>
      <c r="C244" t="s">
        <v>530</v>
      </c>
      <c r="D244" t="str">
        <f>CONCATENATE("0130013959","")</f>
        <v>0130013959</v>
      </c>
      <c r="E244" t="str">
        <f>CONCATENATE("0050106000009       ","")</f>
        <v>0050106000009       </v>
      </c>
      <c r="F244" t="str">
        <f>CONCATENATE("606803414","")</f>
        <v>606803414</v>
      </c>
      <c r="G244" t="s">
        <v>531</v>
      </c>
      <c r="H244" t="s">
        <v>532</v>
      </c>
      <c r="I244" t="s">
        <v>221</v>
      </c>
      <c r="J244" t="str">
        <f aca="true" t="shared" si="33" ref="J244:J254">CONCATENATE("080507","")</f>
        <v>080507</v>
      </c>
      <c r="K244" t="s">
        <v>23</v>
      </c>
      <c r="L244" t="s">
        <v>24</v>
      </c>
      <c r="M244" t="str">
        <f t="shared" si="32"/>
        <v>1</v>
      </c>
      <c r="O244" t="str">
        <f>CONCATENATE("1 ","")</f>
        <v>1 </v>
      </c>
      <c r="P244">
        <v>15.25</v>
      </c>
      <c r="Q244" t="s">
        <v>25</v>
      </c>
    </row>
    <row r="245" spans="1:17" ht="12.75">
      <c r="A245" t="s">
        <v>17</v>
      </c>
      <c r="B245" t="s">
        <v>18</v>
      </c>
      <c r="C245" t="s">
        <v>530</v>
      </c>
      <c r="D245" t="str">
        <f>CONCATENATE("0040033803","")</f>
        <v>0040033803</v>
      </c>
      <c r="E245" t="str">
        <f>CONCATENATE("0050106000125       ","")</f>
        <v>0050106000125       </v>
      </c>
      <c r="F245" t="str">
        <f>CONCATENATE("606670339","")</f>
        <v>606670339</v>
      </c>
      <c r="G245" t="s">
        <v>531</v>
      </c>
      <c r="H245" t="s">
        <v>533</v>
      </c>
      <c r="I245" t="s">
        <v>534</v>
      </c>
      <c r="J245" t="str">
        <f t="shared" si="33"/>
        <v>080507</v>
      </c>
      <c r="K245" t="s">
        <v>23</v>
      </c>
      <c r="L245" t="s">
        <v>24</v>
      </c>
      <c r="M245" t="str">
        <f t="shared" si="32"/>
        <v>1</v>
      </c>
      <c r="O245" t="str">
        <f>CONCATENATE("1 ","")</f>
        <v>1 </v>
      </c>
      <c r="P245">
        <v>11.5</v>
      </c>
      <c r="Q245" t="s">
        <v>25</v>
      </c>
    </row>
    <row r="246" spans="1:17" ht="12.75">
      <c r="A246" t="s">
        <v>17</v>
      </c>
      <c r="B246" t="s">
        <v>18</v>
      </c>
      <c r="C246" t="s">
        <v>530</v>
      </c>
      <c r="D246" t="str">
        <f>CONCATENATE("0130009866","")</f>
        <v>0130009866</v>
      </c>
      <c r="E246" t="str">
        <f>CONCATENATE("0050106000202       ","")</f>
        <v>0050106000202       </v>
      </c>
      <c r="F246" t="str">
        <f>CONCATENATE("111247","")</f>
        <v>111247</v>
      </c>
      <c r="G246" t="s">
        <v>531</v>
      </c>
      <c r="H246" t="s">
        <v>535</v>
      </c>
      <c r="I246" t="s">
        <v>536</v>
      </c>
      <c r="J246" t="str">
        <f t="shared" si="33"/>
        <v>080507</v>
      </c>
      <c r="K246" t="s">
        <v>23</v>
      </c>
      <c r="L246" t="s">
        <v>24</v>
      </c>
      <c r="M246" t="str">
        <f>CONCATENATE("3","")</f>
        <v>3</v>
      </c>
      <c r="O246" t="str">
        <f>CONCATENATE("1 ","")</f>
        <v>1 </v>
      </c>
      <c r="P246">
        <v>56.7</v>
      </c>
      <c r="Q246" t="s">
        <v>25</v>
      </c>
    </row>
    <row r="247" spans="1:17" ht="12.75">
      <c r="A247" t="s">
        <v>17</v>
      </c>
      <c r="B247" t="s">
        <v>18</v>
      </c>
      <c r="C247" t="s">
        <v>530</v>
      </c>
      <c r="D247" t="str">
        <f>CONCATENATE("0040027457","")</f>
        <v>0040027457</v>
      </c>
      <c r="E247" t="str">
        <f>CONCATENATE("0050106000211       ","")</f>
        <v>0050106000211       </v>
      </c>
      <c r="F247" t="str">
        <f>CONCATENATE("2126132","")</f>
        <v>2126132</v>
      </c>
      <c r="G247" t="s">
        <v>531</v>
      </c>
      <c r="H247" t="s">
        <v>537</v>
      </c>
      <c r="I247" t="s">
        <v>538</v>
      </c>
      <c r="J247" t="str">
        <f t="shared" si="33"/>
        <v>080507</v>
      </c>
      <c r="K247" t="s">
        <v>23</v>
      </c>
      <c r="L247" t="s">
        <v>24</v>
      </c>
      <c r="M247" t="str">
        <f aca="true" t="shared" si="34" ref="M247:M261">CONCATENATE("1","")</f>
        <v>1</v>
      </c>
      <c r="O247" t="str">
        <f>CONCATENATE("1 ","")</f>
        <v>1 </v>
      </c>
      <c r="P247">
        <v>473</v>
      </c>
      <c r="Q247" t="s">
        <v>25</v>
      </c>
    </row>
    <row r="248" spans="1:17" ht="12.75">
      <c r="A248" t="s">
        <v>17</v>
      </c>
      <c r="B248" t="s">
        <v>18</v>
      </c>
      <c r="C248" t="s">
        <v>530</v>
      </c>
      <c r="D248" t="str">
        <f>CONCATENATE("0040031101","")</f>
        <v>0040031101</v>
      </c>
      <c r="E248" t="str">
        <f>CONCATENATE("0050106000271       ","")</f>
        <v>0050106000271       </v>
      </c>
      <c r="F248" t="str">
        <f>CONCATENATE("606596771","")</f>
        <v>606596771</v>
      </c>
      <c r="G248" t="s">
        <v>531</v>
      </c>
      <c r="H248" t="s">
        <v>533</v>
      </c>
      <c r="I248" t="s">
        <v>539</v>
      </c>
      <c r="J248" t="str">
        <f t="shared" si="33"/>
        <v>080507</v>
      </c>
      <c r="K248" t="s">
        <v>23</v>
      </c>
      <c r="L248" t="s">
        <v>24</v>
      </c>
      <c r="M248" t="str">
        <f t="shared" si="34"/>
        <v>1</v>
      </c>
      <c r="O248" t="str">
        <f>CONCATENATE("1 ","")</f>
        <v>1 </v>
      </c>
      <c r="P248">
        <v>13.1</v>
      </c>
      <c r="Q248" t="s">
        <v>25</v>
      </c>
    </row>
    <row r="249" spans="1:17" ht="12.75">
      <c r="A249" t="s">
        <v>17</v>
      </c>
      <c r="B249" t="s">
        <v>18</v>
      </c>
      <c r="C249" t="s">
        <v>530</v>
      </c>
      <c r="D249" t="str">
        <f>CONCATENATE("0130009748","")</f>
        <v>0130009748</v>
      </c>
      <c r="E249" t="str">
        <f>CONCATENATE("0050106000305       ","")</f>
        <v>0050106000305       </v>
      </c>
      <c r="F249" t="str">
        <f>CONCATENATE("605743967","")</f>
        <v>605743967</v>
      </c>
      <c r="G249" t="s">
        <v>531</v>
      </c>
      <c r="H249" t="s">
        <v>540</v>
      </c>
      <c r="I249" t="s">
        <v>541</v>
      </c>
      <c r="J249" t="str">
        <f t="shared" si="33"/>
        <v>080507</v>
      </c>
      <c r="K249" t="s">
        <v>23</v>
      </c>
      <c r="L249" t="s">
        <v>24</v>
      </c>
      <c r="M249" t="str">
        <f t="shared" si="34"/>
        <v>1</v>
      </c>
      <c r="O249" t="str">
        <f>CONCATENATE("2 ","")</f>
        <v>2 </v>
      </c>
      <c r="P249">
        <v>32.8</v>
      </c>
      <c r="Q249" t="s">
        <v>25</v>
      </c>
    </row>
    <row r="250" spans="1:17" ht="12.75">
      <c r="A250" t="s">
        <v>17</v>
      </c>
      <c r="B250" t="s">
        <v>18</v>
      </c>
      <c r="C250" t="s">
        <v>530</v>
      </c>
      <c r="D250" t="str">
        <f>CONCATENATE("0130009742","")</f>
        <v>0130009742</v>
      </c>
      <c r="E250" t="str">
        <f>CONCATENATE("0050106000310       ","")</f>
        <v>0050106000310       </v>
      </c>
      <c r="F250" t="str">
        <f>CONCATENATE("605743980","")</f>
        <v>605743980</v>
      </c>
      <c r="G250" t="s">
        <v>531</v>
      </c>
      <c r="H250" t="s">
        <v>542</v>
      </c>
      <c r="I250" t="s">
        <v>543</v>
      </c>
      <c r="J250" t="str">
        <f t="shared" si="33"/>
        <v>080507</v>
      </c>
      <c r="K250" t="s">
        <v>23</v>
      </c>
      <c r="L250" t="s">
        <v>24</v>
      </c>
      <c r="M250" t="str">
        <f t="shared" si="34"/>
        <v>1</v>
      </c>
      <c r="O250" t="str">
        <f>CONCATENATE("1 ","")</f>
        <v>1 </v>
      </c>
      <c r="P250">
        <v>31.95</v>
      </c>
      <c r="Q250" t="s">
        <v>25</v>
      </c>
    </row>
    <row r="251" spans="1:17" ht="12.75">
      <c r="A251" t="s">
        <v>17</v>
      </c>
      <c r="B251" t="s">
        <v>18</v>
      </c>
      <c r="C251" t="s">
        <v>530</v>
      </c>
      <c r="D251" t="str">
        <f>CONCATENATE("0130019655","")</f>
        <v>0130019655</v>
      </c>
      <c r="E251" t="str">
        <f>CONCATENATE("0050106000320       ","")</f>
        <v>0050106000320       </v>
      </c>
      <c r="F251" t="str">
        <f>CONCATENATE("605936348","")</f>
        <v>605936348</v>
      </c>
      <c r="G251" t="s">
        <v>531</v>
      </c>
      <c r="H251" t="s">
        <v>544</v>
      </c>
      <c r="I251" t="s">
        <v>545</v>
      </c>
      <c r="J251" t="str">
        <f t="shared" si="33"/>
        <v>080507</v>
      </c>
      <c r="K251" t="s">
        <v>23</v>
      </c>
      <c r="L251" t="s">
        <v>24</v>
      </c>
      <c r="M251" t="str">
        <f t="shared" si="34"/>
        <v>1</v>
      </c>
      <c r="O251" t="str">
        <f>CONCATENATE("2 ","")</f>
        <v>2 </v>
      </c>
      <c r="P251">
        <v>44.6</v>
      </c>
      <c r="Q251" t="s">
        <v>25</v>
      </c>
    </row>
    <row r="252" spans="1:17" ht="12.75">
      <c r="A252" t="s">
        <v>17</v>
      </c>
      <c r="B252" t="s">
        <v>18</v>
      </c>
      <c r="C252" t="s">
        <v>530</v>
      </c>
      <c r="D252" t="str">
        <f>CONCATENATE("0130009909","")</f>
        <v>0130009909</v>
      </c>
      <c r="E252" t="str">
        <f>CONCATENATE("0050106000412       ","")</f>
        <v>0050106000412       </v>
      </c>
      <c r="F252" t="str">
        <f>CONCATENATE("01116300","")</f>
        <v>01116300</v>
      </c>
      <c r="G252" t="s">
        <v>531</v>
      </c>
      <c r="H252" t="s">
        <v>546</v>
      </c>
      <c r="I252" t="s">
        <v>547</v>
      </c>
      <c r="J252" t="str">
        <f t="shared" si="33"/>
        <v>080507</v>
      </c>
      <c r="K252" t="s">
        <v>23</v>
      </c>
      <c r="L252" t="s">
        <v>24</v>
      </c>
      <c r="M252" t="str">
        <f t="shared" si="34"/>
        <v>1</v>
      </c>
      <c r="O252" t="str">
        <f aca="true" t="shared" si="35" ref="O252:O261">CONCATENATE("1 ","")</f>
        <v>1 </v>
      </c>
      <c r="P252">
        <v>13.5</v>
      </c>
      <c r="Q252" t="s">
        <v>25</v>
      </c>
    </row>
    <row r="253" spans="1:17" ht="12.75">
      <c r="A253" t="s">
        <v>17</v>
      </c>
      <c r="B253" t="s">
        <v>18</v>
      </c>
      <c r="C253" t="s">
        <v>530</v>
      </c>
      <c r="D253" t="str">
        <f>CONCATENATE("0040027578","")</f>
        <v>0040027578</v>
      </c>
      <c r="E253" t="str">
        <f>CONCATENATE("0050106000540       ","")</f>
        <v>0050106000540       </v>
      </c>
      <c r="F253" t="str">
        <f>CONCATENATE("2120575","")</f>
        <v>2120575</v>
      </c>
      <c r="G253" t="s">
        <v>531</v>
      </c>
      <c r="H253" t="s">
        <v>548</v>
      </c>
      <c r="I253" t="s">
        <v>549</v>
      </c>
      <c r="J253" t="str">
        <f t="shared" si="33"/>
        <v>080507</v>
      </c>
      <c r="K253" t="s">
        <v>23</v>
      </c>
      <c r="L253" t="s">
        <v>24</v>
      </c>
      <c r="M253" t="str">
        <f t="shared" si="34"/>
        <v>1</v>
      </c>
      <c r="O253" t="str">
        <f t="shared" si="35"/>
        <v>1 </v>
      </c>
      <c r="P253">
        <v>14</v>
      </c>
      <c r="Q253" t="s">
        <v>25</v>
      </c>
    </row>
    <row r="254" spans="1:17" ht="12.75">
      <c r="A254" t="s">
        <v>17</v>
      </c>
      <c r="B254" t="s">
        <v>18</v>
      </c>
      <c r="C254" t="s">
        <v>530</v>
      </c>
      <c r="D254" t="str">
        <f>CONCATENATE("0130014352","")</f>
        <v>0130014352</v>
      </c>
      <c r="E254" t="str">
        <f>CONCATENATE("0050106000620       ","")</f>
        <v>0050106000620       </v>
      </c>
      <c r="F254" t="str">
        <f>CONCATENATE("605564705","")</f>
        <v>605564705</v>
      </c>
      <c r="G254" t="s">
        <v>531</v>
      </c>
      <c r="H254" t="s">
        <v>550</v>
      </c>
      <c r="I254" t="s">
        <v>551</v>
      </c>
      <c r="J254" t="str">
        <f t="shared" si="33"/>
        <v>080507</v>
      </c>
      <c r="K254" t="s">
        <v>23</v>
      </c>
      <c r="L254" t="s">
        <v>24</v>
      </c>
      <c r="M254" t="str">
        <f t="shared" si="34"/>
        <v>1</v>
      </c>
      <c r="O254" t="str">
        <f t="shared" si="35"/>
        <v>1 </v>
      </c>
      <c r="P254">
        <v>13.1</v>
      </c>
      <c r="Q254" t="s">
        <v>25</v>
      </c>
    </row>
    <row r="255" spans="1:17" ht="12.75">
      <c r="A255" t="s">
        <v>17</v>
      </c>
      <c r="B255" t="s">
        <v>18</v>
      </c>
      <c r="C255" t="s">
        <v>482</v>
      </c>
      <c r="D255" t="str">
        <f>CONCATENATE("0130010378","")</f>
        <v>0130010378</v>
      </c>
      <c r="E255" t="str">
        <f>CONCATENATE("0050107000080       ","")</f>
        <v>0050107000080       </v>
      </c>
      <c r="F255" t="str">
        <f>CONCATENATE("605749733","")</f>
        <v>605749733</v>
      </c>
      <c r="G255" t="s">
        <v>552</v>
      </c>
      <c r="H255" t="s">
        <v>553</v>
      </c>
      <c r="I255" t="s">
        <v>554</v>
      </c>
      <c r="J255" t="str">
        <f>CONCATENATE("080501","")</f>
        <v>080501</v>
      </c>
      <c r="K255" t="s">
        <v>23</v>
      </c>
      <c r="L255" t="s">
        <v>24</v>
      </c>
      <c r="M255" t="str">
        <f t="shared" si="34"/>
        <v>1</v>
      </c>
      <c r="O255" t="str">
        <f t="shared" si="35"/>
        <v>1 </v>
      </c>
      <c r="P255">
        <v>53.3</v>
      </c>
      <c r="Q255" t="s">
        <v>25</v>
      </c>
    </row>
    <row r="256" spans="1:17" ht="12.75">
      <c r="A256" t="s">
        <v>17</v>
      </c>
      <c r="B256" t="s">
        <v>18</v>
      </c>
      <c r="C256" t="s">
        <v>482</v>
      </c>
      <c r="D256" t="str">
        <f>CONCATENATE("0130015859","")</f>
        <v>0130015859</v>
      </c>
      <c r="E256" t="str">
        <f>CONCATENATE("0050107000090       ","")</f>
        <v>0050107000090       </v>
      </c>
      <c r="F256" t="str">
        <f>CONCATENATE("2190968","")</f>
        <v>2190968</v>
      </c>
      <c r="G256" t="s">
        <v>552</v>
      </c>
      <c r="H256" t="s">
        <v>555</v>
      </c>
      <c r="I256" t="s">
        <v>556</v>
      </c>
      <c r="J256" t="str">
        <f>CONCATENATE("080501","")</f>
        <v>080501</v>
      </c>
      <c r="K256" t="s">
        <v>23</v>
      </c>
      <c r="L256" t="s">
        <v>24</v>
      </c>
      <c r="M256" t="str">
        <f t="shared" si="34"/>
        <v>1</v>
      </c>
      <c r="O256" t="str">
        <f t="shared" si="35"/>
        <v>1 </v>
      </c>
      <c r="P256">
        <v>25.8</v>
      </c>
      <c r="Q256" t="s">
        <v>25</v>
      </c>
    </row>
    <row r="257" spans="1:17" ht="12.75">
      <c r="A257" t="s">
        <v>17</v>
      </c>
      <c r="B257" t="s">
        <v>18</v>
      </c>
      <c r="C257" t="s">
        <v>482</v>
      </c>
      <c r="D257" t="str">
        <f>CONCATENATE("0130010381","")</f>
        <v>0130010381</v>
      </c>
      <c r="E257" t="str">
        <f>CONCATENATE("0050107000150       ","")</f>
        <v>0050107000150       </v>
      </c>
      <c r="F257" t="str">
        <f>CONCATENATE("05519707","")</f>
        <v>05519707</v>
      </c>
      <c r="G257" t="s">
        <v>552</v>
      </c>
      <c r="H257" t="s">
        <v>557</v>
      </c>
      <c r="I257" t="s">
        <v>558</v>
      </c>
      <c r="J257" t="str">
        <f>CONCATENATE("080501","")</f>
        <v>080501</v>
      </c>
      <c r="K257" t="s">
        <v>23</v>
      </c>
      <c r="L257" t="s">
        <v>24</v>
      </c>
      <c r="M257" t="str">
        <f t="shared" si="34"/>
        <v>1</v>
      </c>
      <c r="O257" t="str">
        <f t="shared" si="35"/>
        <v>1 </v>
      </c>
      <c r="P257">
        <v>14.35</v>
      </c>
      <c r="Q257" t="s">
        <v>25</v>
      </c>
    </row>
    <row r="258" spans="1:17" ht="12.75">
      <c r="A258" t="s">
        <v>17</v>
      </c>
      <c r="B258" t="s">
        <v>18</v>
      </c>
      <c r="C258" t="s">
        <v>482</v>
      </c>
      <c r="D258" t="str">
        <f>CONCATENATE("0130015770","")</f>
        <v>0130015770</v>
      </c>
      <c r="E258" t="str">
        <f>CONCATENATE("0050107000275       ","")</f>
        <v>0050107000275       </v>
      </c>
      <c r="F258" t="str">
        <f>CONCATENATE("606849245","")</f>
        <v>606849245</v>
      </c>
      <c r="G258" t="s">
        <v>552</v>
      </c>
      <c r="H258" t="s">
        <v>559</v>
      </c>
      <c r="I258" t="s">
        <v>556</v>
      </c>
      <c r="J258" t="str">
        <f>CONCATENATE("080501","")</f>
        <v>080501</v>
      </c>
      <c r="K258" t="s">
        <v>23</v>
      </c>
      <c r="L258" t="s">
        <v>24</v>
      </c>
      <c r="M258" t="str">
        <f t="shared" si="34"/>
        <v>1</v>
      </c>
      <c r="O258" t="str">
        <f t="shared" si="35"/>
        <v>1 </v>
      </c>
      <c r="P258">
        <v>15.8</v>
      </c>
      <c r="Q258" t="s">
        <v>25</v>
      </c>
    </row>
    <row r="259" spans="1:17" ht="12.75">
      <c r="A259" t="s">
        <v>17</v>
      </c>
      <c r="B259" t="s">
        <v>18</v>
      </c>
      <c r="C259" t="s">
        <v>482</v>
      </c>
      <c r="D259" t="str">
        <f>CONCATENATE("0130015772","")</f>
        <v>0130015772</v>
      </c>
      <c r="E259" t="str">
        <f>CONCATENATE("0050107011130       ","")</f>
        <v>0050107011130       </v>
      </c>
      <c r="F259" t="str">
        <f>CONCATENATE("606812988","")</f>
        <v>606812988</v>
      </c>
      <c r="G259" t="s">
        <v>560</v>
      </c>
      <c r="H259" t="s">
        <v>561</v>
      </c>
      <c r="I259" t="s">
        <v>562</v>
      </c>
      <c r="J259" t="str">
        <f>CONCATENATE("080501","")</f>
        <v>080501</v>
      </c>
      <c r="K259" t="s">
        <v>23</v>
      </c>
      <c r="L259" t="s">
        <v>24</v>
      </c>
      <c r="M259" t="str">
        <f t="shared" si="34"/>
        <v>1</v>
      </c>
      <c r="O259" t="str">
        <f t="shared" si="35"/>
        <v>1 </v>
      </c>
      <c r="P259">
        <v>80.7</v>
      </c>
      <c r="Q259" t="s">
        <v>25</v>
      </c>
    </row>
    <row r="260" spans="1:17" ht="12.75">
      <c r="A260" t="s">
        <v>17</v>
      </c>
      <c r="B260" t="s">
        <v>18</v>
      </c>
      <c r="C260" t="s">
        <v>530</v>
      </c>
      <c r="D260" t="str">
        <f>CONCATENATE("0040031254","")</f>
        <v>0040031254</v>
      </c>
      <c r="E260" t="str">
        <f>CONCATENATE("0050111000111       ","")</f>
        <v>0050111000111       </v>
      </c>
      <c r="F260" t="str">
        <f>CONCATENATE("605771392","")</f>
        <v>605771392</v>
      </c>
      <c r="G260" t="s">
        <v>563</v>
      </c>
      <c r="H260" t="s">
        <v>564</v>
      </c>
      <c r="I260" t="s">
        <v>565</v>
      </c>
      <c r="J260" t="str">
        <f>CONCATENATE("080507","")</f>
        <v>080507</v>
      </c>
      <c r="K260" t="s">
        <v>23</v>
      </c>
      <c r="L260" t="s">
        <v>24</v>
      </c>
      <c r="M260" t="str">
        <f t="shared" si="34"/>
        <v>1</v>
      </c>
      <c r="O260" t="str">
        <f t="shared" si="35"/>
        <v>1 </v>
      </c>
      <c r="P260">
        <v>19.7</v>
      </c>
      <c r="Q260" t="s">
        <v>25</v>
      </c>
    </row>
    <row r="261" spans="1:17" ht="12.75">
      <c r="A261" t="s">
        <v>17</v>
      </c>
      <c r="B261" t="s">
        <v>18</v>
      </c>
      <c r="C261" t="s">
        <v>530</v>
      </c>
      <c r="D261" t="str">
        <f>CONCATENATE("0130011213","")</f>
        <v>0130011213</v>
      </c>
      <c r="E261" t="str">
        <f>CONCATENATE("0050112000100       ","")</f>
        <v>0050112000100       </v>
      </c>
      <c r="F261" t="str">
        <f>CONCATENATE("0605771409","")</f>
        <v>0605771409</v>
      </c>
      <c r="G261" t="s">
        <v>566</v>
      </c>
      <c r="H261" t="s">
        <v>567</v>
      </c>
      <c r="I261" t="s">
        <v>568</v>
      </c>
      <c r="J261" t="str">
        <f>CONCATENATE("080507","")</f>
        <v>080507</v>
      </c>
      <c r="K261" t="s">
        <v>23</v>
      </c>
      <c r="L261" t="s">
        <v>24</v>
      </c>
      <c r="M261" t="str">
        <f t="shared" si="34"/>
        <v>1</v>
      </c>
      <c r="O261" t="str">
        <f t="shared" si="35"/>
        <v>1 </v>
      </c>
      <c r="P261">
        <v>258.05</v>
      </c>
      <c r="Q261" t="s">
        <v>25</v>
      </c>
    </row>
    <row r="262" spans="1:17" ht="12.75">
      <c r="A262" t="s">
        <v>17</v>
      </c>
      <c r="B262" t="s">
        <v>18</v>
      </c>
      <c r="C262" t="s">
        <v>482</v>
      </c>
      <c r="D262" t="str">
        <f>CONCATENATE("0130012958","")</f>
        <v>0130012958</v>
      </c>
      <c r="E262" t="str">
        <f>CONCATENATE("0050113000020       ","")</f>
        <v>0050113000020       </v>
      </c>
      <c r="F262" t="str">
        <f>CONCATENATE("507030151","")</f>
        <v>507030151</v>
      </c>
      <c r="G262" t="s">
        <v>569</v>
      </c>
      <c r="H262" t="s">
        <v>570</v>
      </c>
      <c r="I262" t="s">
        <v>571</v>
      </c>
      <c r="J262" t="str">
        <f>CONCATENATE("080501","")</f>
        <v>080501</v>
      </c>
      <c r="K262" t="s">
        <v>23</v>
      </c>
      <c r="L262" t="s">
        <v>24</v>
      </c>
      <c r="M262" t="str">
        <f>CONCATENATE("3","")</f>
        <v>3</v>
      </c>
      <c r="O262" t="str">
        <f>CONCATENATE("3 ","")</f>
        <v>3 </v>
      </c>
      <c r="P262">
        <v>22.85</v>
      </c>
      <c r="Q262" t="s">
        <v>124</v>
      </c>
    </row>
    <row r="263" spans="1:17" ht="12.75">
      <c r="A263" t="s">
        <v>17</v>
      </c>
      <c r="B263" t="s">
        <v>18</v>
      </c>
      <c r="C263" t="s">
        <v>482</v>
      </c>
      <c r="D263" t="str">
        <f>CONCATENATE("0130016761","")</f>
        <v>0130016761</v>
      </c>
      <c r="E263" t="str">
        <f>CONCATENATE("0050113000135       ","")</f>
        <v>0050113000135       </v>
      </c>
      <c r="F263" t="str">
        <f>CONCATENATE("605620233","")</f>
        <v>605620233</v>
      </c>
      <c r="G263" t="s">
        <v>569</v>
      </c>
      <c r="H263" t="s">
        <v>572</v>
      </c>
      <c r="I263" t="s">
        <v>573</v>
      </c>
      <c r="J263" t="str">
        <f>CONCATENATE("080501","")</f>
        <v>080501</v>
      </c>
      <c r="K263" t="s">
        <v>23</v>
      </c>
      <c r="L263" t="s">
        <v>24</v>
      </c>
      <c r="M263" t="str">
        <f>CONCATENATE("1","")</f>
        <v>1</v>
      </c>
      <c r="O263" t="str">
        <f>CONCATENATE("2 ","")</f>
        <v>2 </v>
      </c>
      <c r="P263">
        <v>214.25</v>
      </c>
      <c r="Q263" t="s">
        <v>25</v>
      </c>
    </row>
    <row r="264" spans="1:17" ht="12.75">
      <c r="A264" t="s">
        <v>17</v>
      </c>
      <c r="B264" t="s">
        <v>18</v>
      </c>
      <c r="C264" t="s">
        <v>482</v>
      </c>
      <c r="D264" t="str">
        <f>CONCATENATE("0130015793","")</f>
        <v>0130015793</v>
      </c>
      <c r="E264" t="str">
        <f>CONCATENATE("0050113000460       ","")</f>
        <v>0050113000460       </v>
      </c>
      <c r="F264" t="str">
        <f>CONCATENATE("605281662","")</f>
        <v>605281662</v>
      </c>
      <c r="G264" t="s">
        <v>569</v>
      </c>
      <c r="H264" t="s">
        <v>574</v>
      </c>
      <c r="I264" t="s">
        <v>575</v>
      </c>
      <c r="J264" t="str">
        <f>CONCATENATE("080501","")</f>
        <v>080501</v>
      </c>
      <c r="K264" t="s">
        <v>23</v>
      </c>
      <c r="L264" t="s">
        <v>24</v>
      </c>
      <c r="M264" t="str">
        <f>CONCATENATE("1","")</f>
        <v>1</v>
      </c>
      <c r="O264" t="str">
        <f>CONCATENATE("1 ","")</f>
        <v>1 </v>
      </c>
      <c r="P264">
        <v>21.1</v>
      </c>
      <c r="Q264" t="s">
        <v>25</v>
      </c>
    </row>
    <row r="265" spans="1:17" ht="12.75">
      <c r="A265" t="s">
        <v>17</v>
      </c>
      <c r="B265" t="s">
        <v>18</v>
      </c>
      <c r="C265" t="s">
        <v>482</v>
      </c>
      <c r="D265" t="str">
        <f>CONCATENATE("0130011102","")</f>
        <v>0130011102</v>
      </c>
      <c r="E265" t="str">
        <f>CONCATENATE("0050113000700       ","")</f>
        <v>0050113000700       </v>
      </c>
      <c r="F265" t="str">
        <f>CONCATENATE("110708","")</f>
        <v>110708</v>
      </c>
      <c r="G265" t="s">
        <v>569</v>
      </c>
      <c r="H265" t="s">
        <v>576</v>
      </c>
      <c r="I265" t="s">
        <v>577</v>
      </c>
      <c r="J265" t="str">
        <f>CONCATENATE("080501","")</f>
        <v>080501</v>
      </c>
      <c r="K265" t="s">
        <v>23</v>
      </c>
      <c r="L265" t="s">
        <v>24</v>
      </c>
      <c r="M265" t="str">
        <f>CONCATENATE("3","")</f>
        <v>3</v>
      </c>
      <c r="O265" t="str">
        <f>CONCATENATE("1 ","")</f>
        <v>1 </v>
      </c>
      <c r="P265">
        <v>122.5</v>
      </c>
      <c r="Q265" t="s">
        <v>124</v>
      </c>
    </row>
    <row r="266" spans="1:17" ht="12.75">
      <c r="A266" t="s">
        <v>17</v>
      </c>
      <c r="B266" t="s">
        <v>18</v>
      </c>
      <c r="C266" t="s">
        <v>530</v>
      </c>
      <c r="D266" t="str">
        <f>CONCATENATE("0130011983","")</f>
        <v>0130011983</v>
      </c>
      <c r="E266" t="str">
        <f>CONCATENATE("0050114000030       ","")</f>
        <v>0050114000030       </v>
      </c>
      <c r="F266" t="str">
        <f>CONCATENATE("605390680","")</f>
        <v>605390680</v>
      </c>
      <c r="G266" t="s">
        <v>578</v>
      </c>
      <c r="H266" t="s">
        <v>579</v>
      </c>
      <c r="I266" t="s">
        <v>580</v>
      </c>
      <c r="J266" t="str">
        <f>CONCATENATE("080507","")</f>
        <v>080507</v>
      </c>
      <c r="K266" t="s">
        <v>23</v>
      </c>
      <c r="L266" t="s">
        <v>24</v>
      </c>
      <c r="M266" t="str">
        <f aca="true" t="shared" si="36" ref="M266:M286">CONCATENATE("1","")</f>
        <v>1</v>
      </c>
      <c r="O266" t="str">
        <f>CONCATENATE("1 ","")</f>
        <v>1 </v>
      </c>
      <c r="P266">
        <v>95.45</v>
      </c>
      <c r="Q266" t="s">
        <v>25</v>
      </c>
    </row>
    <row r="267" spans="1:17" ht="12.75">
      <c r="A267" t="s">
        <v>17</v>
      </c>
      <c r="B267" t="s">
        <v>18</v>
      </c>
      <c r="C267" t="s">
        <v>482</v>
      </c>
      <c r="D267" t="str">
        <f>CONCATENATE("0130014186","")</f>
        <v>0130014186</v>
      </c>
      <c r="E267" t="str">
        <f>CONCATENATE("0050115000140       ","")</f>
        <v>0050115000140       </v>
      </c>
      <c r="F267" t="str">
        <f>CONCATENATE("606671490","")</f>
        <v>606671490</v>
      </c>
      <c r="G267" t="s">
        <v>581</v>
      </c>
      <c r="H267" t="s">
        <v>582</v>
      </c>
      <c r="I267" t="s">
        <v>583</v>
      </c>
      <c r="J267" t="str">
        <f>CONCATENATE("080501","")</f>
        <v>080501</v>
      </c>
      <c r="K267" t="s">
        <v>23</v>
      </c>
      <c r="L267" t="s">
        <v>24</v>
      </c>
      <c r="M267" t="str">
        <f t="shared" si="36"/>
        <v>1</v>
      </c>
      <c r="O267" t="str">
        <f>CONCATENATE("1 ","")</f>
        <v>1 </v>
      </c>
      <c r="P267">
        <v>27.55</v>
      </c>
      <c r="Q267" t="s">
        <v>25</v>
      </c>
    </row>
    <row r="268" spans="1:17" ht="12.75">
      <c r="A268" t="s">
        <v>17</v>
      </c>
      <c r="B268" t="s">
        <v>18</v>
      </c>
      <c r="C268" t="s">
        <v>530</v>
      </c>
      <c r="D268" t="str">
        <f>CONCATENATE("0040027793","")</f>
        <v>0040027793</v>
      </c>
      <c r="E268" t="str">
        <f>CONCATENATE("0050116000071       ","")</f>
        <v>0050116000071       </v>
      </c>
      <c r="F268" t="str">
        <f>CONCATENATE("01602938","")</f>
        <v>01602938</v>
      </c>
      <c r="G268" t="s">
        <v>584</v>
      </c>
      <c r="H268" t="s">
        <v>585</v>
      </c>
      <c r="I268" t="s">
        <v>586</v>
      </c>
      <c r="J268" t="str">
        <f>CONCATENATE("080507","")</f>
        <v>080507</v>
      </c>
      <c r="K268" t="s">
        <v>23</v>
      </c>
      <c r="L268" t="s">
        <v>24</v>
      </c>
      <c r="M268" t="str">
        <f t="shared" si="36"/>
        <v>1</v>
      </c>
      <c r="O268" t="str">
        <f>CONCATENATE("5 ","")</f>
        <v>5 </v>
      </c>
      <c r="P268">
        <v>404.25</v>
      </c>
      <c r="Q268" t="s">
        <v>25</v>
      </c>
    </row>
    <row r="269" spans="1:17" ht="12.75">
      <c r="A269" t="s">
        <v>17</v>
      </c>
      <c r="B269" t="s">
        <v>18</v>
      </c>
      <c r="C269" t="s">
        <v>530</v>
      </c>
      <c r="D269" t="str">
        <f>CONCATENATE("0040039641","")</f>
        <v>0040039641</v>
      </c>
      <c r="E269" t="str">
        <f>CONCATENATE("0050116000072       ","")</f>
        <v>0050116000072       </v>
      </c>
      <c r="F269" t="str">
        <f>CONCATENATE("606853989","")</f>
        <v>606853989</v>
      </c>
      <c r="G269" t="s">
        <v>584</v>
      </c>
      <c r="H269" t="s">
        <v>587</v>
      </c>
      <c r="I269" t="s">
        <v>588</v>
      </c>
      <c r="J269" t="str">
        <f>CONCATENATE("080507","")</f>
        <v>080507</v>
      </c>
      <c r="K269" t="s">
        <v>23</v>
      </c>
      <c r="L269" t="s">
        <v>24</v>
      </c>
      <c r="M269" t="str">
        <f t="shared" si="36"/>
        <v>1</v>
      </c>
      <c r="O269" t="str">
        <f>CONCATENATE("3 ","")</f>
        <v>3 </v>
      </c>
      <c r="P269">
        <v>297.4</v>
      </c>
      <c r="Q269" t="s">
        <v>25</v>
      </c>
    </row>
    <row r="270" spans="1:17" ht="12.75">
      <c r="A270" t="s">
        <v>17</v>
      </c>
      <c r="B270" t="s">
        <v>18</v>
      </c>
      <c r="C270" t="s">
        <v>530</v>
      </c>
      <c r="D270" t="str">
        <f>CONCATENATE("0130012059","")</f>
        <v>0130012059</v>
      </c>
      <c r="E270" t="str">
        <f>CONCATENATE("0050116000300       ","")</f>
        <v>0050116000300       </v>
      </c>
      <c r="F270" t="str">
        <f>CONCATENATE("1603397","")</f>
        <v>1603397</v>
      </c>
      <c r="G270" t="s">
        <v>584</v>
      </c>
      <c r="H270" t="s">
        <v>589</v>
      </c>
      <c r="I270" t="s">
        <v>590</v>
      </c>
      <c r="J270" t="str">
        <f>CONCATENATE("080507","")</f>
        <v>080507</v>
      </c>
      <c r="K270" t="s">
        <v>23</v>
      </c>
      <c r="L270" t="s">
        <v>24</v>
      </c>
      <c r="M270" t="str">
        <f t="shared" si="36"/>
        <v>1</v>
      </c>
      <c r="O270" t="str">
        <f>CONCATENATE("1 ","")</f>
        <v>1 </v>
      </c>
      <c r="P270">
        <v>792.45</v>
      </c>
      <c r="Q270" t="s">
        <v>25</v>
      </c>
    </row>
    <row r="271" spans="1:17" ht="12.75">
      <c r="A271" t="s">
        <v>17</v>
      </c>
      <c r="B271" t="s">
        <v>18</v>
      </c>
      <c r="C271" t="s">
        <v>530</v>
      </c>
      <c r="D271" t="str">
        <f>CONCATENATE("0040027593","")</f>
        <v>0040027593</v>
      </c>
      <c r="E271" t="str">
        <f>CONCATENATE("0050116000350       ","")</f>
        <v>0050116000350       </v>
      </c>
      <c r="F271" t="str">
        <f>CONCATENATE("2120572","")</f>
        <v>2120572</v>
      </c>
      <c r="G271" t="s">
        <v>584</v>
      </c>
      <c r="H271" t="s">
        <v>591</v>
      </c>
      <c r="I271" t="s">
        <v>592</v>
      </c>
      <c r="J271" t="str">
        <f>CONCATENATE("080507","")</f>
        <v>080507</v>
      </c>
      <c r="K271" t="s">
        <v>23</v>
      </c>
      <c r="L271" t="s">
        <v>24</v>
      </c>
      <c r="M271" t="str">
        <f t="shared" si="36"/>
        <v>1</v>
      </c>
      <c r="O271" t="str">
        <f>CONCATENATE("1 ","")</f>
        <v>1 </v>
      </c>
      <c r="P271">
        <v>24.55</v>
      </c>
      <c r="Q271" t="s">
        <v>25</v>
      </c>
    </row>
    <row r="272" spans="1:17" ht="12.75">
      <c r="A272" t="s">
        <v>17</v>
      </c>
      <c r="B272" t="s">
        <v>18</v>
      </c>
      <c r="C272" t="s">
        <v>593</v>
      </c>
      <c r="D272" t="str">
        <f>CONCATENATE("0130012291","")</f>
        <v>0130012291</v>
      </c>
      <c r="E272" t="str">
        <f>CONCATENATE("0050118000070       ","")</f>
        <v>0050118000070       </v>
      </c>
      <c r="F272" t="str">
        <f>CONCATENATE("1606828","")</f>
        <v>1606828</v>
      </c>
      <c r="G272" t="s">
        <v>594</v>
      </c>
      <c r="H272" t="s">
        <v>595</v>
      </c>
      <c r="I272" t="s">
        <v>596</v>
      </c>
      <c r="J272" t="str">
        <f aca="true" t="shared" si="37" ref="J272:J277">CONCATENATE("080502","")</f>
        <v>080502</v>
      </c>
      <c r="K272" t="s">
        <v>23</v>
      </c>
      <c r="L272" t="s">
        <v>24</v>
      </c>
      <c r="M272" t="str">
        <f t="shared" si="36"/>
        <v>1</v>
      </c>
      <c r="O272" t="str">
        <f>CONCATENATE("1 ","")</f>
        <v>1 </v>
      </c>
      <c r="P272">
        <v>27.45</v>
      </c>
      <c r="Q272" t="s">
        <v>25</v>
      </c>
    </row>
    <row r="273" spans="1:17" ht="12.75">
      <c r="A273" t="s">
        <v>17</v>
      </c>
      <c r="B273" t="s">
        <v>18</v>
      </c>
      <c r="C273" t="s">
        <v>593</v>
      </c>
      <c r="D273" t="str">
        <f>CONCATENATE("0130014052","")</f>
        <v>0130014052</v>
      </c>
      <c r="E273" t="str">
        <f>CONCATENATE("0050118000090       ","")</f>
        <v>0050118000090       </v>
      </c>
      <c r="F273" t="str">
        <f>CONCATENATE("2186118","")</f>
        <v>2186118</v>
      </c>
      <c r="G273" t="s">
        <v>594</v>
      </c>
      <c r="H273" t="s">
        <v>597</v>
      </c>
      <c r="I273" t="s">
        <v>598</v>
      </c>
      <c r="J273" t="str">
        <f t="shared" si="37"/>
        <v>080502</v>
      </c>
      <c r="K273" t="s">
        <v>23</v>
      </c>
      <c r="L273" t="s">
        <v>24</v>
      </c>
      <c r="M273" t="str">
        <f t="shared" si="36"/>
        <v>1</v>
      </c>
      <c r="O273" t="str">
        <f>CONCATENATE("1 ","")</f>
        <v>1 </v>
      </c>
      <c r="P273">
        <v>55.25</v>
      </c>
      <c r="Q273" t="s">
        <v>25</v>
      </c>
    </row>
    <row r="274" spans="1:17" ht="12.75">
      <c r="A274" t="s">
        <v>17</v>
      </c>
      <c r="B274" t="s">
        <v>18</v>
      </c>
      <c r="C274" t="s">
        <v>593</v>
      </c>
      <c r="D274" t="str">
        <f>CONCATENATE("0130016974","")</f>
        <v>0130016974</v>
      </c>
      <c r="E274" t="str">
        <f>CONCATENATE("0050119000011       ","")</f>
        <v>0050119000011       </v>
      </c>
      <c r="F274" t="str">
        <f>CONCATENATE("605752256","")</f>
        <v>605752256</v>
      </c>
      <c r="G274" t="s">
        <v>599</v>
      </c>
      <c r="H274" t="s">
        <v>600</v>
      </c>
      <c r="I274" t="s">
        <v>601</v>
      </c>
      <c r="J274" t="str">
        <f t="shared" si="37"/>
        <v>080502</v>
      </c>
      <c r="K274" t="s">
        <v>23</v>
      </c>
      <c r="L274" t="s">
        <v>24</v>
      </c>
      <c r="M274" t="str">
        <f t="shared" si="36"/>
        <v>1</v>
      </c>
      <c r="O274" t="str">
        <f>CONCATENATE("1 ","")</f>
        <v>1 </v>
      </c>
      <c r="P274">
        <v>24.15</v>
      </c>
      <c r="Q274" t="s">
        <v>25</v>
      </c>
    </row>
    <row r="275" spans="1:17" ht="12.75">
      <c r="A275" t="s">
        <v>17</v>
      </c>
      <c r="B275" t="s">
        <v>18</v>
      </c>
      <c r="C275" t="s">
        <v>593</v>
      </c>
      <c r="D275" t="str">
        <f>CONCATENATE("0130020704","")</f>
        <v>0130020704</v>
      </c>
      <c r="E275" t="str">
        <f>CONCATENATE("0050119000022       ","")</f>
        <v>0050119000022       </v>
      </c>
      <c r="F275" t="str">
        <f>CONCATENATE("1431618","")</f>
        <v>1431618</v>
      </c>
      <c r="G275" t="s">
        <v>599</v>
      </c>
      <c r="H275" t="s">
        <v>602</v>
      </c>
      <c r="I275" t="s">
        <v>603</v>
      </c>
      <c r="J275" t="str">
        <f t="shared" si="37"/>
        <v>080502</v>
      </c>
      <c r="K275" t="s">
        <v>23</v>
      </c>
      <c r="L275" t="s">
        <v>24</v>
      </c>
      <c r="M275" t="str">
        <f t="shared" si="36"/>
        <v>1</v>
      </c>
      <c r="O275" t="str">
        <f>CONCATENATE("3 ","")</f>
        <v>3 </v>
      </c>
      <c r="P275">
        <v>37.4</v>
      </c>
      <c r="Q275" t="s">
        <v>25</v>
      </c>
    </row>
    <row r="276" spans="1:17" ht="12.75">
      <c r="A276" t="s">
        <v>17</v>
      </c>
      <c r="B276" t="s">
        <v>18</v>
      </c>
      <c r="C276" t="s">
        <v>593</v>
      </c>
      <c r="D276" t="str">
        <f>CONCATENATE("0040033066","")</f>
        <v>0040033066</v>
      </c>
      <c r="E276" t="str">
        <f>CONCATENATE("0050119000045       ","")</f>
        <v>0050119000045       </v>
      </c>
      <c r="F276" t="str">
        <f>CONCATENATE("2189635","")</f>
        <v>2189635</v>
      </c>
      <c r="G276" t="s">
        <v>599</v>
      </c>
      <c r="H276" t="s">
        <v>587</v>
      </c>
      <c r="I276" t="s">
        <v>221</v>
      </c>
      <c r="J276" t="str">
        <f t="shared" si="37"/>
        <v>080502</v>
      </c>
      <c r="K276" t="s">
        <v>23</v>
      </c>
      <c r="L276" t="s">
        <v>24</v>
      </c>
      <c r="M276" t="str">
        <f t="shared" si="36"/>
        <v>1</v>
      </c>
      <c r="O276" t="str">
        <f>CONCATENATE("1 ","")</f>
        <v>1 </v>
      </c>
      <c r="P276">
        <v>58.25</v>
      </c>
      <c r="Q276" t="s">
        <v>25</v>
      </c>
    </row>
    <row r="277" spans="1:17" ht="12.75">
      <c r="A277" t="s">
        <v>17</v>
      </c>
      <c r="B277" t="s">
        <v>18</v>
      </c>
      <c r="C277" t="s">
        <v>593</v>
      </c>
      <c r="D277" t="str">
        <f>CONCATENATE("0040028225","")</f>
        <v>0040028225</v>
      </c>
      <c r="E277" t="str">
        <f>CONCATENATE("0050119000055       ","")</f>
        <v>0050119000055       </v>
      </c>
      <c r="F277" t="str">
        <f>CONCATENATE("1860470","")</f>
        <v>1860470</v>
      </c>
      <c r="G277" t="s">
        <v>599</v>
      </c>
      <c r="H277" t="s">
        <v>604</v>
      </c>
      <c r="I277" t="s">
        <v>605</v>
      </c>
      <c r="J277" t="str">
        <f t="shared" si="37"/>
        <v>080502</v>
      </c>
      <c r="K277" t="s">
        <v>23</v>
      </c>
      <c r="L277" t="s">
        <v>24</v>
      </c>
      <c r="M277" t="str">
        <f t="shared" si="36"/>
        <v>1</v>
      </c>
      <c r="O277" t="str">
        <f>CONCATENATE("1 ","")</f>
        <v>1 </v>
      </c>
      <c r="P277">
        <v>11.85</v>
      </c>
      <c r="Q277" t="s">
        <v>25</v>
      </c>
    </row>
    <row r="278" spans="1:17" ht="12.75">
      <c r="A278" t="s">
        <v>17</v>
      </c>
      <c r="B278" t="s">
        <v>18</v>
      </c>
      <c r="C278" t="s">
        <v>606</v>
      </c>
      <c r="D278" t="str">
        <f>CONCATENATE("0040037084","")</f>
        <v>0040037084</v>
      </c>
      <c r="E278" t="str">
        <f>CONCATENATE("0050120000165       ","")</f>
        <v>0050120000165       </v>
      </c>
      <c r="F278" t="str">
        <f>CONCATENATE("606757827","")</f>
        <v>606757827</v>
      </c>
      <c r="G278" t="s">
        <v>607</v>
      </c>
      <c r="H278" t="s">
        <v>608</v>
      </c>
      <c r="I278" t="s">
        <v>609</v>
      </c>
      <c r="J278" t="str">
        <f>CONCATENATE("080506","")</f>
        <v>080506</v>
      </c>
      <c r="K278" t="s">
        <v>23</v>
      </c>
      <c r="L278" t="s">
        <v>24</v>
      </c>
      <c r="M278" t="str">
        <f t="shared" si="36"/>
        <v>1</v>
      </c>
      <c r="O278" t="str">
        <f>CONCATENATE("1 ","")</f>
        <v>1 </v>
      </c>
      <c r="P278">
        <v>13.55</v>
      </c>
      <c r="Q278" t="s">
        <v>25</v>
      </c>
    </row>
    <row r="279" spans="1:17" ht="12.75">
      <c r="A279" t="s">
        <v>17</v>
      </c>
      <c r="B279" t="s">
        <v>18</v>
      </c>
      <c r="C279" t="s">
        <v>606</v>
      </c>
      <c r="D279" t="str">
        <f>CONCATENATE("0130002203","")</f>
        <v>0130002203</v>
      </c>
      <c r="E279" t="str">
        <f>CONCATENATE("0050120000350       ","")</f>
        <v>0050120000350       </v>
      </c>
      <c r="F279" t="str">
        <f>CONCATENATE("605391794","")</f>
        <v>605391794</v>
      </c>
      <c r="G279" t="s">
        <v>607</v>
      </c>
      <c r="H279" t="s">
        <v>610</v>
      </c>
      <c r="I279" t="s">
        <v>611</v>
      </c>
      <c r="J279" t="str">
        <f>CONCATENATE("080506","")</f>
        <v>080506</v>
      </c>
      <c r="K279" t="s">
        <v>23</v>
      </c>
      <c r="L279" t="s">
        <v>24</v>
      </c>
      <c r="M279" t="str">
        <f t="shared" si="36"/>
        <v>1</v>
      </c>
      <c r="O279" t="str">
        <f>CONCATENATE("2 ","")</f>
        <v>2 </v>
      </c>
      <c r="P279">
        <v>39.85</v>
      </c>
      <c r="Q279" t="s">
        <v>25</v>
      </c>
    </row>
    <row r="280" spans="1:17" ht="12.75">
      <c r="A280" t="s">
        <v>17</v>
      </c>
      <c r="B280" t="s">
        <v>18</v>
      </c>
      <c r="C280" t="s">
        <v>606</v>
      </c>
      <c r="D280" t="str">
        <f>CONCATENATE("0130002209","")</f>
        <v>0130002209</v>
      </c>
      <c r="E280" t="str">
        <f>CONCATENATE("0050120000450       ","")</f>
        <v>0050120000450       </v>
      </c>
      <c r="F280" t="str">
        <f>CONCATENATE("605556070","")</f>
        <v>605556070</v>
      </c>
      <c r="G280" t="s">
        <v>607</v>
      </c>
      <c r="H280" t="s">
        <v>612</v>
      </c>
      <c r="I280" t="s">
        <v>611</v>
      </c>
      <c r="J280" t="str">
        <f>CONCATENATE("080506","")</f>
        <v>080506</v>
      </c>
      <c r="K280" t="s">
        <v>23</v>
      </c>
      <c r="L280" t="s">
        <v>24</v>
      </c>
      <c r="M280" t="str">
        <f t="shared" si="36"/>
        <v>1</v>
      </c>
      <c r="O280" t="str">
        <f>CONCATENATE("1 ","")</f>
        <v>1 </v>
      </c>
      <c r="P280">
        <v>26.15</v>
      </c>
      <c r="Q280" t="s">
        <v>25</v>
      </c>
    </row>
    <row r="281" spans="1:17" ht="12.75">
      <c r="A281" t="s">
        <v>17</v>
      </c>
      <c r="B281" t="s">
        <v>18</v>
      </c>
      <c r="C281" t="s">
        <v>606</v>
      </c>
      <c r="D281" t="str">
        <f>CONCATENATE("0130015620","")</f>
        <v>0130015620</v>
      </c>
      <c r="E281" t="str">
        <f>CONCATENATE("0050121000220       ","")</f>
        <v>0050121000220       </v>
      </c>
      <c r="F281" t="str">
        <f>CONCATENATE("605280453","")</f>
        <v>605280453</v>
      </c>
      <c r="G281" t="s">
        <v>613</v>
      </c>
      <c r="H281" t="s">
        <v>614</v>
      </c>
      <c r="I281" t="s">
        <v>615</v>
      </c>
      <c r="J281" t="str">
        <f>CONCATENATE("080506","")</f>
        <v>080506</v>
      </c>
      <c r="K281" t="s">
        <v>23</v>
      </c>
      <c r="L281" t="s">
        <v>24</v>
      </c>
      <c r="M281" t="str">
        <f t="shared" si="36"/>
        <v>1</v>
      </c>
      <c r="O281" t="str">
        <f>CONCATENATE("1 ","")</f>
        <v>1 </v>
      </c>
      <c r="P281">
        <v>13.95</v>
      </c>
      <c r="Q281" t="s">
        <v>25</v>
      </c>
    </row>
    <row r="282" spans="1:17" ht="12.75">
      <c r="A282" t="s">
        <v>17</v>
      </c>
      <c r="B282" t="s">
        <v>18</v>
      </c>
      <c r="C282" t="s">
        <v>482</v>
      </c>
      <c r="D282" t="str">
        <f>CONCATENATE("0130015388","")</f>
        <v>0130015388</v>
      </c>
      <c r="E282" t="str">
        <f>CONCATENATE("0050123000010       ","")</f>
        <v>0050123000010       </v>
      </c>
      <c r="F282" t="str">
        <f>CONCATENATE("606812984","")</f>
        <v>606812984</v>
      </c>
      <c r="G282" t="s">
        <v>616</v>
      </c>
      <c r="H282" t="s">
        <v>617</v>
      </c>
      <c r="I282" t="s">
        <v>618</v>
      </c>
      <c r="J282" t="str">
        <f aca="true" t="shared" si="38" ref="J282:J295">CONCATENATE("080501","")</f>
        <v>080501</v>
      </c>
      <c r="K282" t="s">
        <v>23</v>
      </c>
      <c r="L282" t="s">
        <v>24</v>
      </c>
      <c r="M282" t="str">
        <f t="shared" si="36"/>
        <v>1</v>
      </c>
      <c r="O282" t="str">
        <f>CONCATENATE("1 ","")</f>
        <v>1 </v>
      </c>
      <c r="P282">
        <v>66.95</v>
      </c>
      <c r="Q282" t="s">
        <v>25</v>
      </c>
    </row>
    <row r="283" spans="1:17" ht="12.75">
      <c r="A283" t="s">
        <v>17</v>
      </c>
      <c r="B283" t="s">
        <v>18</v>
      </c>
      <c r="C283" t="s">
        <v>482</v>
      </c>
      <c r="D283" t="str">
        <f>CONCATENATE("0130020373","")</f>
        <v>0130020373</v>
      </c>
      <c r="E283" t="str">
        <f>CONCATENATE("0050127000053       ","")</f>
        <v>0050127000053       </v>
      </c>
      <c r="F283" t="str">
        <f>CONCATENATE("1601699","")</f>
        <v>1601699</v>
      </c>
      <c r="G283" t="s">
        <v>619</v>
      </c>
      <c r="H283" t="s">
        <v>620</v>
      </c>
      <c r="I283" t="s">
        <v>621</v>
      </c>
      <c r="J283" t="str">
        <f t="shared" si="38"/>
        <v>080501</v>
      </c>
      <c r="K283" t="s">
        <v>23</v>
      </c>
      <c r="L283" t="s">
        <v>24</v>
      </c>
      <c r="M283" t="str">
        <f t="shared" si="36"/>
        <v>1</v>
      </c>
      <c r="O283" t="str">
        <f>CONCATENATE("1 ","")</f>
        <v>1 </v>
      </c>
      <c r="P283">
        <v>12.35</v>
      </c>
      <c r="Q283" t="s">
        <v>25</v>
      </c>
    </row>
    <row r="284" spans="1:17" ht="12.75">
      <c r="A284" t="s">
        <v>17</v>
      </c>
      <c r="B284" t="s">
        <v>18</v>
      </c>
      <c r="C284" t="s">
        <v>482</v>
      </c>
      <c r="D284" t="str">
        <f>CONCATENATE("0040039116","")</f>
        <v>0040039116</v>
      </c>
      <c r="E284" t="str">
        <f>CONCATENATE("0050127000409       ","")</f>
        <v>0050127000409       </v>
      </c>
      <c r="F284" t="str">
        <f>CONCATENATE("0605119665","")</f>
        <v>0605119665</v>
      </c>
      <c r="G284" t="s">
        <v>619</v>
      </c>
      <c r="H284" t="s">
        <v>622</v>
      </c>
      <c r="I284" t="s">
        <v>623</v>
      </c>
      <c r="J284" t="str">
        <f t="shared" si="38"/>
        <v>080501</v>
      </c>
      <c r="K284" t="s">
        <v>23</v>
      </c>
      <c r="L284" t="s">
        <v>24</v>
      </c>
      <c r="M284" t="str">
        <f t="shared" si="36"/>
        <v>1</v>
      </c>
      <c r="O284" t="str">
        <f>CONCATENATE("2 ","")</f>
        <v>2 </v>
      </c>
      <c r="P284">
        <v>1289.95</v>
      </c>
      <c r="Q284" t="s">
        <v>25</v>
      </c>
    </row>
    <row r="285" spans="1:17" ht="12.75">
      <c r="A285" t="s">
        <v>17</v>
      </c>
      <c r="B285" t="s">
        <v>18</v>
      </c>
      <c r="C285" t="s">
        <v>482</v>
      </c>
      <c r="D285" t="str">
        <f>CONCATENATE("0130008716","")</f>
        <v>0130008716</v>
      </c>
      <c r="E285" t="str">
        <f>CONCATENATE("0050128000150       ","")</f>
        <v>0050128000150       </v>
      </c>
      <c r="F285" t="str">
        <f>CONCATENATE("605117595","")</f>
        <v>605117595</v>
      </c>
      <c r="G285" t="s">
        <v>624</v>
      </c>
      <c r="H285" t="s">
        <v>625</v>
      </c>
      <c r="I285" t="s">
        <v>626</v>
      </c>
      <c r="J285" t="str">
        <f t="shared" si="38"/>
        <v>080501</v>
      </c>
      <c r="K285" t="s">
        <v>23</v>
      </c>
      <c r="L285" t="s">
        <v>24</v>
      </c>
      <c r="M285" t="str">
        <f t="shared" si="36"/>
        <v>1</v>
      </c>
      <c r="O285" t="str">
        <f>CONCATENATE("1 ","")</f>
        <v>1 </v>
      </c>
      <c r="P285">
        <v>33.6</v>
      </c>
      <c r="Q285" t="s">
        <v>25</v>
      </c>
    </row>
    <row r="286" spans="1:17" ht="12.75">
      <c r="A286" t="s">
        <v>17</v>
      </c>
      <c r="B286" t="s">
        <v>18</v>
      </c>
      <c r="C286" t="s">
        <v>482</v>
      </c>
      <c r="D286" t="str">
        <f>CONCATENATE("0040037921","")</f>
        <v>0040037921</v>
      </c>
      <c r="E286" t="str">
        <f>CONCATENATE("0050129000280       ","")</f>
        <v>0050129000280       </v>
      </c>
      <c r="F286" t="str">
        <f>CONCATENATE("607055058","")</f>
        <v>607055058</v>
      </c>
      <c r="G286" t="s">
        <v>627</v>
      </c>
      <c r="H286" t="s">
        <v>628</v>
      </c>
      <c r="I286" t="s">
        <v>629</v>
      </c>
      <c r="J286" t="str">
        <f t="shared" si="38"/>
        <v>080501</v>
      </c>
      <c r="K286" t="s">
        <v>23</v>
      </c>
      <c r="L286" t="s">
        <v>24</v>
      </c>
      <c r="M286" t="str">
        <f t="shared" si="36"/>
        <v>1</v>
      </c>
      <c r="O286" t="str">
        <f>CONCATENATE("1 ","")</f>
        <v>1 </v>
      </c>
      <c r="P286">
        <v>11.45</v>
      </c>
      <c r="Q286" t="s">
        <v>25</v>
      </c>
    </row>
    <row r="287" spans="1:17" ht="12.75">
      <c r="A287" t="s">
        <v>17</v>
      </c>
      <c r="B287" t="s">
        <v>18</v>
      </c>
      <c r="C287" t="s">
        <v>482</v>
      </c>
      <c r="D287" t="str">
        <f>CONCATENATE("0040037920","")</f>
        <v>0040037920</v>
      </c>
      <c r="E287" t="str">
        <f>CONCATENATE("0050129000290       ","")</f>
        <v>0050129000290       </v>
      </c>
      <c r="F287" t="str">
        <f>CONCATENATE("607054284","")</f>
        <v>607054284</v>
      </c>
      <c r="G287" t="s">
        <v>627</v>
      </c>
      <c r="H287" t="s">
        <v>630</v>
      </c>
      <c r="I287" t="s">
        <v>631</v>
      </c>
      <c r="J287" t="str">
        <f t="shared" si="38"/>
        <v>080501</v>
      </c>
      <c r="K287" t="s">
        <v>23</v>
      </c>
      <c r="L287" t="s">
        <v>24</v>
      </c>
      <c r="M287" t="str">
        <f>CONCATENATE("4","")</f>
        <v>4</v>
      </c>
      <c r="O287" t="str">
        <f>CONCATENATE("7 ","")</f>
        <v>7 </v>
      </c>
      <c r="P287">
        <v>61.15</v>
      </c>
      <c r="Q287" t="s">
        <v>25</v>
      </c>
    </row>
    <row r="288" spans="1:17" ht="12.75">
      <c r="A288" t="s">
        <v>17</v>
      </c>
      <c r="B288" t="s">
        <v>18</v>
      </c>
      <c r="C288" t="s">
        <v>482</v>
      </c>
      <c r="D288" t="str">
        <f>CONCATENATE("0040037918","")</f>
        <v>0040037918</v>
      </c>
      <c r="E288" t="str">
        <f>CONCATENATE("0050129000305       ","")</f>
        <v>0050129000305       </v>
      </c>
      <c r="F288" t="str">
        <f>CONCATENATE("607054741","")</f>
        <v>607054741</v>
      </c>
      <c r="G288" t="s">
        <v>627</v>
      </c>
      <c r="H288" t="s">
        <v>632</v>
      </c>
      <c r="I288" t="s">
        <v>633</v>
      </c>
      <c r="J288" t="str">
        <f t="shared" si="38"/>
        <v>080501</v>
      </c>
      <c r="K288" t="s">
        <v>23</v>
      </c>
      <c r="L288" t="s">
        <v>24</v>
      </c>
      <c r="M288" t="str">
        <f aca="true" t="shared" si="39" ref="M288:M309">CONCATENATE("1","")</f>
        <v>1</v>
      </c>
      <c r="O288" t="str">
        <f>CONCATENATE("2 ","")</f>
        <v>2 </v>
      </c>
      <c r="P288">
        <v>31.35</v>
      </c>
      <c r="Q288" t="s">
        <v>25</v>
      </c>
    </row>
    <row r="289" spans="1:17" ht="12.75">
      <c r="A289" t="s">
        <v>17</v>
      </c>
      <c r="B289" t="s">
        <v>18</v>
      </c>
      <c r="C289" t="s">
        <v>482</v>
      </c>
      <c r="D289" t="str">
        <f>CONCATENATE("0130020338","")</f>
        <v>0130020338</v>
      </c>
      <c r="E289" t="str">
        <f>CONCATENATE("0050131000150       ","")</f>
        <v>0050131000150       </v>
      </c>
      <c r="F289" t="str">
        <f>CONCATENATE("1606351","")</f>
        <v>1606351</v>
      </c>
      <c r="G289" t="s">
        <v>634</v>
      </c>
      <c r="H289" t="s">
        <v>635</v>
      </c>
      <c r="I289" t="s">
        <v>636</v>
      </c>
      <c r="J289" t="str">
        <f t="shared" si="38"/>
        <v>080501</v>
      </c>
      <c r="K289" t="s">
        <v>23</v>
      </c>
      <c r="L289" t="s">
        <v>24</v>
      </c>
      <c r="M289" t="str">
        <f t="shared" si="39"/>
        <v>1</v>
      </c>
      <c r="O289" t="str">
        <f>CONCATENATE("1 ","")</f>
        <v>1 </v>
      </c>
      <c r="P289">
        <v>18.8</v>
      </c>
      <c r="Q289" t="s">
        <v>25</v>
      </c>
    </row>
    <row r="290" spans="1:17" ht="12.75">
      <c r="A290" t="s">
        <v>17</v>
      </c>
      <c r="B290" t="s">
        <v>18</v>
      </c>
      <c r="C290" t="s">
        <v>482</v>
      </c>
      <c r="D290" t="str">
        <f>CONCATENATE("0130012424","")</f>
        <v>0130012424</v>
      </c>
      <c r="E290" t="str">
        <f>CONCATENATE("0050134000090       ","")</f>
        <v>0050134000090       </v>
      </c>
      <c r="F290" t="str">
        <f>CONCATENATE("00002755950","")</f>
        <v>00002755950</v>
      </c>
      <c r="G290" t="s">
        <v>637</v>
      </c>
      <c r="H290" t="s">
        <v>638</v>
      </c>
      <c r="I290" t="s">
        <v>639</v>
      </c>
      <c r="J290" t="str">
        <f t="shared" si="38"/>
        <v>080501</v>
      </c>
      <c r="K290" t="s">
        <v>23</v>
      </c>
      <c r="L290" t="s">
        <v>24</v>
      </c>
      <c r="M290" t="str">
        <f t="shared" si="39"/>
        <v>1</v>
      </c>
      <c r="O290" t="str">
        <f>CONCATENATE("1 ","")</f>
        <v>1 </v>
      </c>
      <c r="P290">
        <v>60.9</v>
      </c>
      <c r="Q290" t="s">
        <v>25</v>
      </c>
    </row>
    <row r="291" spans="1:17" ht="12.75">
      <c r="A291" t="s">
        <v>17</v>
      </c>
      <c r="B291" t="s">
        <v>18</v>
      </c>
      <c r="C291" t="s">
        <v>482</v>
      </c>
      <c r="D291" t="str">
        <f>CONCATENATE("0040036273","")</f>
        <v>0040036273</v>
      </c>
      <c r="E291" t="str">
        <f>CONCATENATE("0050141000081       ","")</f>
        <v>0050141000081       </v>
      </c>
      <c r="F291" t="str">
        <f>CONCATENATE("606675700","")</f>
        <v>606675700</v>
      </c>
      <c r="G291" t="s">
        <v>640</v>
      </c>
      <c r="H291" t="s">
        <v>641</v>
      </c>
      <c r="I291" t="s">
        <v>642</v>
      </c>
      <c r="J291" t="str">
        <f t="shared" si="38"/>
        <v>080501</v>
      </c>
      <c r="K291" t="s">
        <v>23</v>
      </c>
      <c r="L291" t="s">
        <v>24</v>
      </c>
      <c r="M291" t="str">
        <f t="shared" si="39"/>
        <v>1</v>
      </c>
      <c r="O291" t="str">
        <f>CONCATENATE("3 ","")</f>
        <v>3 </v>
      </c>
      <c r="P291">
        <v>23.7</v>
      </c>
      <c r="Q291" t="s">
        <v>25</v>
      </c>
    </row>
    <row r="292" spans="1:17" ht="12.75">
      <c r="A292" t="s">
        <v>17</v>
      </c>
      <c r="B292" t="s">
        <v>18</v>
      </c>
      <c r="C292" t="s">
        <v>482</v>
      </c>
      <c r="D292" t="str">
        <f>CONCATENATE("0040037808","")</f>
        <v>0040037808</v>
      </c>
      <c r="E292" t="str">
        <f>CONCATENATE("0050147001070       ","")</f>
        <v>0050147001070       </v>
      </c>
      <c r="F292" t="str">
        <f>CONCATENATE("607054285","")</f>
        <v>607054285</v>
      </c>
      <c r="G292" t="s">
        <v>293</v>
      </c>
      <c r="H292" t="s">
        <v>643</v>
      </c>
      <c r="I292" t="s">
        <v>644</v>
      </c>
      <c r="J292" t="str">
        <f t="shared" si="38"/>
        <v>080501</v>
      </c>
      <c r="K292" t="s">
        <v>23</v>
      </c>
      <c r="L292" t="s">
        <v>24</v>
      </c>
      <c r="M292" t="str">
        <f t="shared" si="39"/>
        <v>1</v>
      </c>
      <c r="O292" t="str">
        <f>CONCATENATE("1 ","")</f>
        <v>1 </v>
      </c>
      <c r="P292">
        <v>20.5</v>
      </c>
      <c r="Q292" t="s">
        <v>25</v>
      </c>
    </row>
    <row r="293" spans="1:17" ht="12.75">
      <c r="A293" t="s">
        <v>17</v>
      </c>
      <c r="B293" t="s">
        <v>18</v>
      </c>
      <c r="C293" t="s">
        <v>482</v>
      </c>
      <c r="D293" t="str">
        <f>CONCATENATE("0040037842","")</f>
        <v>0040037842</v>
      </c>
      <c r="E293" t="str">
        <f>CONCATENATE("0050147001125       ","")</f>
        <v>0050147001125       </v>
      </c>
      <c r="F293" t="str">
        <f>CONCATENATE("607055064","")</f>
        <v>607055064</v>
      </c>
      <c r="G293" t="s">
        <v>293</v>
      </c>
      <c r="H293" t="s">
        <v>645</v>
      </c>
      <c r="I293" t="s">
        <v>646</v>
      </c>
      <c r="J293" t="str">
        <f t="shared" si="38"/>
        <v>080501</v>
      </c>
      <c r="K293" t="s">
        <v>23</v>
      </c>
      <c r="L293" t="s">
        <v>24</v>
      </c>
      <c r="M293" t="str">
        <f t="shared" si="39"/>
        <v>1</v>
      </c>
      <c r="O293" t="str">
        <f>CONCATENATE("7 ","")</f>
        <v>7 </v>
      </c>
      <c r="P293">
        <v>61.2</v>
      </c>
      <c r="Q293" t="s">
        <v>25</v>
      </c>
    </row>
    <row r="294" spans="1:17" ht="12.75">
      <c r="A294" t="s">
        <v>17</v>
      </c>
      <c r="B294" t="s">
        <v>18</v>
      </c>
      <c r="C294" t="s">
        <v>482</v>
      </c>
      <c r="D294" t="str">
        <f>CONCATENATE("0130012601","")</f>
        <v>0130012601</v>
      </c>
      <c r="E294" t="str">
        <f>CONCATENATE("0050149000090       ","")</f>
        <v>0050149000090       </v>
      </c>
      <c r="F294" t="str">
        <f>CONCATENATE("1605203","")</f>
        <v>1605203</v>
      </c>
      <c r="G294" t="s">
        <v>647</v>
      </c>
      <c r="H294" t="s">
        <v>648</v>
      </c>
      <c r="I294" t="s">
        <v>649</v>
      </c>
      <c r="J294" t="str">
        <f t="shared" si="38"/>
        <v>080501</v>
      </c>
      <c r="K294" t="s">
        <v>23</v>
      </c>
      <c r="L294" t="s">
        <v>24</v>
      </c>
      <c r="M294" t="str">
        <f t="shared" si="39"/>
        <v>1</v>
      </c>
      <c r="O294" t="str">
        <f>CONCATENATE("1 ","")</f>
        <v>1 </v>
      </c>
      <c r="P294">
        <v>41.15</v>
      </c>
      <c r="Q294" t="s">
        <v>25</v>
      </c>
    </row>
    <row r="295" spans="1:17" ht="12.75">
      <c r="A295" t="s">
        <v>17</v>
      </c>
      <c r="B295" t="s">
        <v>18</v>
      </c>
      <c r="C295" t="s">
        <v>482</v>
      </c>
      <c r="D295" t="str">
        <f>CONCATENATE("0130016702","")</f>
        <v>0130016702</v>
      </c>
      <c r="E295" t="str">
        <f>CONCATENATE("0050150000105       ","")</f>
        <v>0050150000105       </v>
      </c>
      <c r="F295" t="str">
        <f>CONCATENATE("605626117","")</f>
        <v>605626117</v>
      </c>
      <c r="G295" t="s">
        <v>650</v>
      </c>
      <c r="H295" t="s">
        <v>651</v>
      </c>
      <c r="I295" t="s">
        <v>652</v>
      </c>
      <c r="J295" t="str">
        <f t="shared" si="38"/>
        <v>080501</v>
      </c>
      <c r="K295" t="s">
        <v>23</v>
      </c>
      <c r="L295" t="s">
        <v>24</v>
      </c>
      <c r="M295" t="str">
        <f t="shared" si="39"/>
        <v>1</v>
      </c>
      <c r="O295" t="str">
        <f>CONCATENATE("1 ","")</f>
        <v>1 </v>
      </c>
      <c r="P295">
        <v>20</v>
      </c>
      <c r="Q295" t="s">
        <v>25</v>
      </c>
    </row>
    <row r="296" spans="1:17" ht="12.75">
      <c r="A296" t="s">
        <v>17</v>
      </c>
      <c r="B296" t="s">
        <v>18</v>
      </c>
      <c r="C296" t="s">
        <v>530</v>
      </c>
      <c r="D296" t="str">
        <f>CONCATENATE("0130012395","")</f>
        <v>0130012395</v>
      </c>
      <c r="E296" t="str">
        <f>CONCATENATE("0050151000030       ","")</f>
        <v>0050151000030       </v>
      </c>
      <c r="F296" t="str">
        <f>CONCATENATE("1602418","")</f>
        <v>1602418</v>
      </c>
      <c r="G296" t="s">
        <v>653</v>
      </c>
      <c r="H296" t="s">
        <v>654</v>
      </c>
      <c r="I296" t="s">
        <v>655</v>
      </c>
      <c r="J296" t="str">
        <f>CONCATENATE("080507","")</f>
        <v>080507</v>
      </c>
      <c r="K296" t="s">
        <v>23</v>
      </c>
      <c r="L296" t="s">
        <v>24</v>
      </c>
      <c r="M296" t="str">
        <f t="shared" si="39"/>
        <v>1</v>
      </c>
      <c r="O296" t="str">
        <f>CONCATENATE("3 ","")</f>
        <v>3 </v>
      </c>
      <c r="P296">
        <v>38.35</v>
      </c>
      <c r="Q296" t="s">
        <v>25</v>
      </c>
    </row>
    <row r="297" spans="1:17" ht="12.75">
      <c r="A297" t="s">
        <v>17</v>
      </c>
      <c r="B297" t="s">
        <v>18</v>
      </c>
      <c r="C297" t="s">
        <v>530</v>
      </c>
      <c r="D297" t="str">
        <f>CONCATENATE("0130012397","")</f>
        <v>0130012397</v>
      </c>
      <c r="E297" t="str">
        <f>CONCATENATE("0050151000130       ","")</f>
        <v>0050151000130       </v>
      </c>
      <c r="F297" t="str">
        <f>CONCATENATE("1602409","")</f>
        <v>1602409</v>
      </c>
      <c r="G297" t="s">
        <v>653</v>
      </c>
      <c r="H297" t="s">
        <v>656</v>
      </c>
      <c r="I297" t="s">
        <v>655</v>
      </c>
      <c r="J297" t="str">
        <f>CONCATENATE("080507","")</f>
        <v>080507</v>
      </c>
      <c r="K297" t="s">
        <v>23</v>
      </c>
      <c r="L297" t="s">
        <v>24</v>
      </c>
      <c r="M297" t="str">
        <f t="shared" si="39"/>
        <v>1</v>
      </c>
      <c r="O297" t="str">
        <f>CONCATENATE("1 ","")</f>
        <v>1 </v>
      </c>
      <c r="P297">
        <v>413.7</v>
      </c>
      <c r="Q297" t="s">
        <v>25</v>
      </c>
    </row>
    <row r="298" spans="1:17" ht="12.75">
      <c r="A298" t="s">
        <v>17</v>
      </c>
      <c r="B298" t="s">
        <v>18</v>
      </c>
      <c r="C298" t="s">
        <v>482</v>
      </c>
      <c r="D298" t="str">
        <f>CONCATENATE("0130013391","")</f>
        <v>0130013391</v>
      </c>
      <c r="E298" t="str">
        <f>CONCATENATE("0050152000460       ","")</f>
        <v>0050152000460       </v>
      </c>
      <c r="F298" t="str">
        <f>CONCATENATE("606600732","")</f>
        <v>606600732</v>
      </c>
      <c r="G298" t="s">
        <v>657</v>
      </c>
      <c r="H298" t="s">
        <v>658</v>
      </c>
      <c r="I298" t="s">
        <v>659</v>
      </c>
      <c r="J298" t="str">
        <f aca="true" t="shared" si="40" ref="J298:J309">CONCATENATE("080501","")</f>
        <v>080501</v>
      </c>
      <c r="K298" t="s">
        <v>23</v>
      </c>
      <c r="L298" t="s">
        <v>24</v>
      </c>
      <c r="M298" t="str">
        <f t="shared" si="39"/>
        <v>1</v>
      </c>
      <c r="O298" t="str">
        <f>CONCATENATE("2 ","")</f>
        <v>2 </v>
      </c>
      <c r="P298">
        <v>20</v>
      </c>
      <c r="Q298" t="s">
        <v>25</v>
      </c>
    </row>
    <row r="299" spans="1:17" ht="12.75">
      <c r="A299" t="s">
        <v>17</v>
      </c>
      <c r="B299" t="s">
        <v>18</v>
      </c>
      <c r="C299" t="s">
        <v>482</v>
      </c>
      <c r="D299" t="str">
        <f>CONCATENATE("0130012752","")</f>
        <v>0130012752</v>
      </c>
      <c r="E299" t="str">
        <f>CONCATENATE("0050152000480       ","")</f>
        <v>0050152000480       </v>
      </c>
      <c r="F299" t="str">
        <f>CONCATENATE("1602413","")</f>
        <v>1602413</v>
      </c>
      <c r="G299" t="s">
        <v>657</v>
      </c>
      <c r="H299" t="s">
        <v>660</v>
      </c>
      <c r="I299" t="s">
        <v>661</v>
      </c>
      <c r="J299" t="str">
        <f t="shared" si="40"/>
        <v>080501</v>
      </c>
      <c r="K299" t="s">
        <v>23</v>
      </c>
      <c r="L299" t="s">
        <v>24</v>
      </c>
      <c r="M299" t="str">
        <f t="shared" si="39"/>
        <v>1</v>
      </c>
      <c r="O299" t="str">
        <f>CONCATENATE("1 ","")</f>
        <v>1 </v>
      </c>
      <c r="P299">
        <v>15.85</v>
      </c>
      <c r="Q299" t="s">
        <v>25</v>
      </c>
    </row>
    <row r="300" spans="1:17" ht="12.75">
      <c r="A300" t="s">
        <v>17</v>
      </c>
      <c r="B300" t="s">
        <v>18</v>
      </c>
      <c r="C300" t="s">
        <v>482</v>
      </c>
      <c r="D300" t="str">
        <f>CONCATENATE("0130020185","")</f>
        <v>0130020185</v>
      </c>
      <c r="E300" t="str">
        <f>CONCATENATE("0050155001030       ","")</f>
        <v>0050155001030       </v>
      </c>
      <c r="F300" t="str">
        <f>CONCATENATE("0606031784","")</f>
        <v>0606031784</v>
      </c>
      <c r="G300" t="s">
        <v>662</v>
      </c>
      <c r="H300" t="s">
        <v>663</v>
      </c>
      <c r="I300" t="s">
        <v>664</v>
      </c>
      <c r="J300" t="str">
        <f t="shared" si="40"/>
        <v>080501</v>
      </c>
      <c r="K300" t="s">
        <v>23</v>
      </c>
      <c r="L300" t="s">
        <v>24</v>
      </c>
      <c r="M300" t="str">
        <f t="shared" si="39"/>
        <v>1</v>
      </c>
      <c r="O300" t="str">
        <f>CONCATENATE("1 ","")</f>
        <v>1 </v>
      </c>
      <c r="P300">
        <v>10.8</v>
      </c>
      <c r="Q300" t="s">
        <v>25</v>
      </c>
    </row>
    <row r="301" spans="1:17" ht="12.75">
      <c r="A301" t="s">
        <v>17</v>
      </c>
      <c r="B301" t="s">
        <v>18</v>
      </c>
      <c r="C301" t="s">
        <v>482</v>
      </c>
      <c r="D301" t="str">
        <f>CONCATENATE("0130020187","")</f>
        <v>0130020187</v>
      </c>
      <c r="E301" t="str">
        <f>CONCATENATE("0050155001070       ","")</f>
        <v>0050155001070       </v>
      </c>
      <c r="F301" t="str">
        <f>CONCATENATE("0606031778","")</f>
        <v>0606031778</v>
      </c>
      <c r="G301" t="s">
        <v>662</v>
      </c>
      <c r="H301" t="s">
        <v>665</v>
      </c>
      <c r="I301" t="s">
        <v>664</v>
      </c>
      <c r="J301" t="str">
        <f t="shared" si="40"/>
        <v>080501</v>
      </c>
      <c r="K301" t="s">
        <v>23</v>
      </c>
      <c r="L301" t="s">
        <v>24</v>
      </c>
      <c r="M301" t="str">
        <f t="shared" si="39"/>
        <v>1</v>
      </c>
      <c r="O301" t="str">
        <f>CONCATENATE("1 ","")</f>
        <v>1 </v>
      </c>
      <c r="P301">
        <v>10.6</v>
      </c>
      <c r="Q301" t="s">
        <v>25</v>
      </c>
    </row>
    <row r="302" spans="1:17" ht="12.75">
      <c r="A302" t="s">
        <v>17</v>
      </c>
      <c r="B302" t="s">
        <v>18</v>
      </c>
      <c r="C302" t="s">
        <v>482</v>
      </c>
      <c r="D302" t="str">
        <f>CONCATENATE("0040037431","")</f>
        <v>0040037431</v>
      </c>
      <c r="E302" t="str">
        <f>CONCATENATE("0050170002040       ","")</f>
        <v>0050170002040       </v>
      </c>
      <c r="F302" t="str">
        <f>CONCATENATE("607054361","")</f>
        <v>607054361</v>
      </c>
      <c r="G302" t="s">
        <v>293</v>
      </c>
      <c r="H302" t="s">
        <v>666</v>
      </c>
      <c r="I302" t="s">
        <v>667</v>
      </c>
      <c r="J302" t="str">
        <f t="shared" si="40"/>
        <v>080501</v>
      </c>
      <c r="K302" t="s">
        <v>23</v>
      </c>
      <c r="L302" t="s">
        <v>24</v>
      </c>
      <c r="M302" t="str">
        <f t="shared" si="39"/>
        <v>1</v>
      </c>
      <c r="O302" t="str">
        <f>CONCATENATE("7 ","")</f>
        <v>7 </v>
      </c>
      <c r="P302">
        <v>61.15</v>
      </c>
      <c r="Q302" t="s">
        <v>25</v>
      </c>
    </row>
    <row r="303" spans="1:17" ht="12.75">
      <c r="A303" t="s">
        <v>17</v>
      </c>
      <c r="B303" t="s">
        <v>18</v>
      </c>
      <c r="C303" t="s">
        <v>482</v>
      </c>
      <c r="D303" t="str">
        <f>CONCATENATE("0040038086","")</f>
        <v>0040038086</v>
      </c>
      <c r="E303" t="str">
        <f>CONCATENATE("0050173001020       ","")</f>
        <v>0050173001020       </v>
      </c>
      <c r="F303" t="str">
        <f>CONCATENATE("607054818","")</f>
        <v>607054818</v>
      </c>
      <c r="G303" t="s">
        <v>293</v>
      </c>
      <c r="H303" t="s">
        <v>668</v>
      </c>
      <c r="I303" t="s">
        <v>669</v>
      </c>
      <c r="J303" t="str">
        <f t="shared" si="40"/>
        <v>080501</v>
      </c>
      <c r="K303" t="s">
        <v>23</v>
      </c>
      <c r="L303" t="s">
        <v>24</v>
      </c>
      <c r="M303" t="str">
        <f t="shared" si="39"/>
        <v>1</v>
      </c>
      <c r="O303" t="str">
        <f>CONCATENATE("6 ","")</f>
        <v>6 </v>
      </c>
      <c r="P303">
        <v>58.4</v>
      </c>
      <c r="Q303" t="s">
        <v>25</v>
      </c>
    </row>
    <row r="304" spans="1:17" ht="12.75">
      <c r="A304" t="s">
        <v>17</v>
      </c>
      <c r="B304" t="s">
        <v>18</v>
      </c>
      <c r="C304" t="s">
        <v>482</v>
      </c>
      <c r="D304" t="str">
        <f>CONCATENATE("0040037797","")</f>
        <v>0040037797</v>
      </c>
      <c r="E304" t="str">
        <f>CONCATENATE("0050175001020       ","")</f>
        <v>0050175001020       </v>
      </c>
      <c r="F304" t="str">
        <f>CONCATENATE("607054403","")</f>
        <v>607054403</v>
      </c>
      <c r="G304" t="s">
        <v>496</v>
      </c>
      <c r="H304" t="s">
        <v>670</v>
      </c>
      <c r="I304" t="s">
        <v>671</v>
      </c>
      <c r="J304" t="str">
        <f t="shared" si="40"/>
        <v>080501</v>
      </c>
      <c r="K304" t="s">
        <v>23</v>
      </c>
      <c r="L304" t="s">
        <v>24</v>
      </c>
      <c r="M304" t="str">
        <f t="shared" si="39"/>
        <v>1</v>
      </c>
      <c r="O304" t="str">
        <f>CONCATENATE("1 ","")</f>
        <v>1 </v>
      </c>
      <c r="P304">
        <v>22.9</v>
      </c>
      <c r="Q304" t="s">
        <v>25</v>
      </c>
    </row>
    <row r="305" spans="1:17" ht="12.75">
      <c r="A305" t="s">
        <v>17</v>
      </c>
      <c r="B305" t="s">
        <v>18</v>
      </c>
      <c r="C305" t="s">
        <v>482</v>
      </c>
      <c r="D305" t="str">
        <f>CONCATENATE("0040037789","")</f>
        <v>0040037789</v>
      </c>
      <c r="E305" t="str">
        <f>CONCATENATE("0050175001050       ","")</f>
        <v>0050175001050       </v>
      </c>
      <c r="F305" t="str">
        <f>CONCATENATE("607054822","")</f>
        <v>607054822</v>
      </c>
      <c r="G305" t="s">
        <v>496</v>
      </c>
      <c r="H305" t="s">
        <v>672</v>
      </c>
      <c r="I305" t="s">
        <v>673</v>
      </c>
      <c r="J305" t="str">
        <f t="shared" si="40"/>
        <v>080501</v>
      </c>
      <c r="K305" t="s">
        <v>23</v>
      </c>
      <c r="L305" t="s">
        <v>24</v>
      </c>
      <c r="M305" t="str">
        <f t="shared" si="39"/>
        <v>1</v>
      </c>
      <c r="O305" t="str">
        <f>CONCATENATE("7 ","")</f>
        <v>7 </v>
      </c>
      <c r="P305">
        <v>102.1</v>
      </c>
      <c r="Q305" t="s">
        <v>25</v>
      </c>
    </row>
    <row r="306" spans="1:17" ht="12.75">
      <c r="A306" t="s">
        <v>17</v>
      </c>
      <c r="B306" t="s">
        <v>18</v>
      </c>
      <c r="C306" t="s">
        <v>482</v>
      </c>
      <c r="D306" t="str">
        <f>CONCATENATE("0040038003","")</f>
        <v>0040038003</v>
      </c>
      <c r="E306" t="str">
        <f>CONCATENATE("0050177002100       ","")</f>
        <v>0050177002100       </v>
      </c>
      <c r="F306" t="str">
        <f>CONCATENATE("607054755","")</f>
        <v>607054755</v>
      </c>
      <c r="G306" t="s">
        <v>496</v>
      </c>
      <c r="H306" t="s">
        <v>674</v>
      </c>
      <c r="I306" t="s">
        <v>675</v>
      </c>
      <c r="J306" t="str">
        <f t="shared" si="40"/>
        <v>080501</v>
      </c>
      <c r="K306" t="s">
        <v>23</v>
      </c>
      <c r="L306" t="s">
        <v>24</v>
      </c>
      <c r="M306" t="str">
        <f t="shared" si="39"/>
        <v>1</v>
      </c>
      <c r="O306" t="str">
        <f>CONCATENATE("4 ","")</f>
        <v>4 </v>
      </c>
      <c r="P306">
        <v>27.75</v>
      </c>
      <c r="Q306" t="s">
        <v>25</v>
      </c>
    </row>
    <row r="307" spans="1:17" ht="12.75">
      <c r="A307" t="s">
        <v>17</v>
      </c>
      <c r="B307" t="s">
        <v>18</v>
      </c>
      <c r="C307" t="s">
        <v>482</v>
      </c>
      <c r="D307" t="str">
        <f>CONCATENATE("0040038026","")</f>
        <v>0040038026</v>
      </c>
      <c r="E307" t="str">
        <f>CONCATENATE("0050177002120       ","")</f>
        <v>0050177002120       </v>
      </c>
      <c r="F307" t="str">
        <f>CONCATENATE("607054658","")</f>
        <v>607054658</v>
      </c>
      <c r="G307" t="s">
        <v>496</v>
      </c>
      <c r="H307" t="s">
        <v>676</v>
      </c>
      <c r="I307" t="s">
        <v>677</v>
      </c>
      <c r="J307" t="str">
        <f t="shared" si="40"/>
        <v>080501</v>
      </c>
      <c r="K307" t="s">
        <v>23</v>
      </c>
      <c r="L307" t="s">
        <v>24</v>
      </c>
      <c r="M307" t="str">
        <f t="shared" si="39"/>
        <v>1</v>
      </c>
      <c r="O307" t="str">
        <f>CONCATENATE("6 ","")</f>
        <v>6 </v>
      </c>
      <c r="P307">
        <v>73.8</v>
      </c>
      <c r="Q307" t="s">
        <v>25</v>
      </c>
    </row>
    <row r="308" spans="1:17" ht="12.75">
      <c r="A308" t="s">
        <v>17</v>
      </c>
      <c r="B308" t="s">
        <v>18</v>
      </c>
      <c r="C308" t="s">
        <v>482</v>
      </c>
      <c r="D308" t="str">
        <f>CONCATENATE("0040038112","")</f>
        <v>0040038112</v>
      </c>
      <c r="E308" t="str">
        <f>CONCATENATE("0050178002110       ","")</f>
        <v>0050178002110       </v>
      </c>
      <c r="F308" t="str">
        <f>CONCATENATE("607054802","")</f>
        <v>607054802</v>
      </c>
      <c r="G308" t="s">
        <v>496</v>
      </c>
      <c r="H308" t="s">
        <v>678</v>
      </c>
      <c r="I308" t="s">
        <v>679</v>
      </c>
      <c r="J308" t="str">
        <f t="shared" si="40"/>
        <v>080501</v>
      </c>
      <c r="K308" t="s">
        <v>23</v>
      </c>
      <c r="L308" t="s">
        <v>24</v>
      </c>
      <c r="M308" t="str">
        <f t="shared" si="39"/>
        <v>1</v>
      </c>
      <c r="O308" t="str">
        <f>CONCATENATE("7 ","")</f>
        <v>7 </v>
      </c>
      <c r="P308">
        <v>61.15</v>
      </c>
      <c r="Q308" t="s">
        <v>25</v>
      </c>
    </row>
    <row r="309" spans="1:17" ht="12.75">
      <c r="A309" t="s">
        <v>17</v>
      </c>
      <c r="B309" t="s">
        <v>18</v>
      </c>
      <c r="C309" t="s">
        <v>482</v>
      </c>
      <c r="D309" t="str">
        <f>CONCATENATE("0040038118","")</f>
        <v>0040038118</v>
      </c>
      <c r="E309" t="str">
        <f>CONCATENATE("0050178002260       ","")</f>
        <v>0050178002260       </v>
      </c>
      <c r="F309" t="str">
        <f>CONCATENATE("607054932","")</f>
        <v>607054932</v>
      </c>
      <c r="G309" t="s">
        <v>496</v>
      </c>
      <c r="H309" t="s">
        <v>680</v>
      </c>
      <c r="I309" t="s">
        <v>681</v>
      </c>
      <c r="J309" t="str">
        <f t="shared" si="40"/>
        <v>080501</v>
      </c>
      <c r="K309" t="s">
        <v>23</v>
      </c>
      <c r="L309" t="s">
        <v>24</v>
      </c>
      <c r="M309" t="str">
        <f t="shared" si="39"/>
        <v>1</v>
      </c>
      <c r="O309" t="str">
        <f aca="true" t="shared" si="41" ref="O309:O346">CONCATENATE("1 ","")</f>
        <v>1 </v>
      </c>
      <c r="P309">
        <v>21.7</v>
      </c>
      <c r="Q309" t="s">
        <v>25</v>
      </c>
    </row>
    <row r="310" spans="1:17" ht="12.75">
      <c r="A310" t="s">
        <v>17</v>
      </c>
      <c r="B310" t="s">
        <v>18</v>
      </c>
      <c r="C310" t="s">
        <v>606</v>
      </c>
      <c r="D310" t="str">
        <f>CONCATENATE("0040027444","")</f>
        <v>0040027444</v>
      </c>
      <c r="E310" t="str">
        <f>CONCATENATE("0050601000035       ","")</f>
        <v>0050601000035       </v>
      </c>
      <c r="F310" t="str">
        <f>CONCATENATE("507008854","")</f>
        <v>507008854</v>
      </c>
      <c r="G310" t="s">
        <v>682</v>
      </c>
      <c r="H310" t="s">
        <v>683</v>
      </c>
      <c r="I310" t="s">
        <v>684</v>
      </c>
      <c r="J310" t="str">
        <f aca="true" t="shared" si="42" ref="J310:J331">CONCATENATE("080506","")</f>
        <v>080506</v>
      </c>
      <c r="K310" t="s">
        <v>23</v>
      </c>
      <c r="L310" t="s">
        <v>24</v>
      </c>
      <c r="M310" t="str">
        <f>CONCATENATE("3","")</f>
        <v>3</v>
      </c>
      <c r="O310" t="str">
        <f t="shared" si="41"/>
        <v>1 </v>
      </c>
      <c r="P310">
        <v>116.5</v>
      </c>
      <c r="Q310" t="s">
        <v>124</v>
      </c>
    </row>
    <row r="311" spans="1:17" ht="12.75">
      <c r="A311" t="s">
        <v>17</v>
      </c>
      <c r="B311" t="s">
        <v>18</v>
      </c>
      <c r="C311" t="s">
        <v>606</v>
      </c>
      <c r="D311" t="str">
        <f>CONCATENATE("0130017105","")</f>
        <v>0130017105</v>
      </c>
      <c r="E311" t="str">
        <f>CONCATENATE("0050601000324       ","")</f>
        <v>0050601000324       </v>
      </c>
      <c r="F311" t="str">
        <f>CONCATENATE("605757845","")</f>
        <v>605757845</v>
      </c>
      <c r="G311" t="s">
        <v>682</v>
      </c>
      <c r="H311" t="s">
        <v>685</v>
      </c>
      <c r="I311" t="s">
        <v>686</v>
      </c>
      <c r="J311" t="str">
        <f t="shared" si="42"/>
        <v>080506</v>
      </c>
      <c r="K311" t="s">
        <v>23</v>
      </c>
      <c r="L311" t="s">
        <v>24</v>
      </c>
      <c r="M311" t="str">
        <f aca="true" t="shared" si="43" ref="M311:M342">CONCATENATE("1","")</f>
        <v>1</v>
      </c>
      <c r="O311" t="str">
        <f t="shared" si="41"/>
        <v>1 </v>
      </c>
      <c r="P311">
        <v>16.75</v>
      </c>
      <c r="Q311" t="s">
        <v>25</v>
      </c>
    </row>
    <row r="312" spans="1:17" ht="12.75">
      <c r="A312" t="s">
        <v>17</v>
      </c>
      <c r="B312" t="s">
        <v>18</v>
      </c>
      <c r="C312" t="s">
        <v>606</v>
      </c>
      <c r="D312" t="str">
        <f>CONCATENATE("0130020578","")</f>
        <v>0130020578</v>
      </c>
      <c r="E312" t="str">
        <f>CONCATENATE("0050601000410       ","")</f>
        <v>0050601000410       </v>
      </c>
      <c r="F312" t="str">
        <f>CONCATENATE("1673929","")</f>
        <v>1673929</v>
      </c>
      <c r="G312" t="s">
        <v>682</v>
      </c>
      <c r="H312" t="s">
        <v>687</v>
      </c>
      <c r="I312" t="s">
        <v>688</v>
      </c>
      <c r="J312" t="str">
        <f t="shared" si="42"/>
        <v>080506</v>
      </c>
      <c r="K312" t="s">
        <v>23</v>
      </c>
      <c r="L312" t="s">
        <v>24</v>
      </c>
      <c r="M312" t="str">
        <f t="shared" si="43"/>
        <v>1</v>
      </c>
      <c r="O312" t="str">
        <f t="shared" si="41"/>
        <v>1 </v>
      </c>
      <c r="P312">
        <v>94.25</v>
      </c>
      <c r="Q312" t="s">
        <v>25</v>
      </c>
    </row>
    <row r="313" spans="1:17" ht="12.75">
      <c r="A313" t="s">
        <v>17</v>
      </c>
      <c r="B313" t="s">
        <v>18</v>
      </c>
      <c r="C313" t="s">
        <v>606</v>
      </c>
      <c r="D313" t="str">
        <f>CONCATENATE("0130007268","")</f>
        <v>0130007268</v>
      </c>
      <c r="E313" t="str">
        <f>CONCATENATE("0050601000502       ","")</f>
        <v>0050601000502       </v>
      </c>
      <c r="F313" t="str">
        <f>CONCATENATE("605390743","")</f>
        <v>605390743</v>
      </c>
      <c r="G313" t="s">
        <v>682</v>
      </c>
      <c r="H313" t="s">
        <v>689</v>
      </c>
      <c r="I313" t="s">
        <v>606</v>
      </c>
      <c r="J313" t="str">
        <f t="shared" si="42"/>
        <v>080506</v>
      </c>
      <c r="K313" t="s">
        <v>23</v>
      </c>
      <c r="L313" t="s">
        <v>24</v>
      </c>
      <c r="M313" t="str">
        <f t="shared" si="43"/>
        <v>1</v>
      </c>
      <c r="O313" t="str">
        <f t="shared" si="41"/>
        <v>1 </v>
      </c>
      <c r="P313">
        <v>41.15</v>
      </c>
      <c r="Q313" t="s">
        <v>25</v>
      </c>
    </row>
    <row r="314" spans="1:17" ht="12.75">
      <c r="A314" t="s">
        <v>17</v>
      </c>
      <c r="B314" t="s">
        <v>18</v>
      </c>
      <c r="C314" t="s">
        <v>606</v>
      </c>
      <c r="D314" t="str">
        <f>CONCATENATE("0130007408","")</f>
        <v>0130007408</v>
      </c>
      <c r="E314" t="str">
        <f>CONCATENATE("0050601000605       ","")</f>
        <v>0050601000605       </v>
      </c>
      <c r="F314" t="str">
        <f>CONCATENATE("605120574","")</f>
        <v>605120574</v>
      </c>
      <c r="G314" t="s">
        <v>682</v>
      </c>
      <c r="H314" t="s">
        <v>690</v>
      </c>
      <c r="I314" t="s">
        <v>691</v>
      </c>
      <c r="J314" t="str">
        <f t="shared" si="42"/>
        <v>080506</v>
      </c>
      <c r="K314" t="s">
        <v>23</v>
      </c>
      <c r="L314" t="s">
        <v>24</v>
      </c>
      <c r="M314" t="str">
        <f t="shared" si="43"/>
        <v>1</v>
      </c>
      <c r="O314" t="str">
        <f t="shared" si="41"/>
        <v>1 </v>
      </c>
      <c r="P314">
        <v>178.65</v>
      </c>
      <c r="Q314" t="s">
        <v>25</v>
      </c>
    </row>
    <row r="315" spans="1:17" ht="12.75">
      <c r="A315" t="s">
        <v>17</v>
      </c>
      <c r="B315" t="s">
        <v>18</v>
      </c>
      <c r="C315" t="s">
        <v>606</v>
      </c>
      <c r="D315" t="str">
        <f>CONCATENATE("0130016811","")</f>
        <v>0130016811</v>
      </c>
      <c r="E315" t="str">
        <f>CONCATENATE("0050601000607       ","")</f>
        <v>0050601000607       </v>
      </c>
      <c r="F315" t="str">
        <f>CONCATENATE("605619477","")</f>
        <v>605619477</v>
      </c>
      <c r="G315" t="s">
        <v>682</v>
      </c>
      <c r="H315" t="s">
        <v>692</v>
      </c>
      <c r="I315" t="s">
        <v>693</v>
      </c>
      <c r="J315" t="str">
        <f t="shared" si="42"/>
        <v>080506</v>
      </c>
      <c r="K315" t="s">
        <v>23</v>
      </c>
      <c r="L315" t="s">
        <v>24</v>
      </c>
      <c r="M315" t="str">
        <f t="shared" si="43"/>
        <v>1</v>
      </c>
      <c r="O315" t="str">
        <f t="shared" si="41"/>
        <v>1 </v>
      </c>
      <c r="P315">
        <v>34.9</v>
      </c>
      <c r="Q315" t="s">
        <v>25</v>
      </c>
    </row>
    <row r="316" spans="1:17" ht="12.75">
      <c r="A316" t="s">
        <v>17</v>
      </c>
      <c r="B316" t="s">
        <v>18</v>
      </c>
      <c r="C316" t="s">
        <v>606</v>
      </c>
      <c r="D316" t="str">
        <f>CONCATENATE("0130002393","")</f>
        <v>0130002393</v>
      </c>
      <c r="E316" t="str">
        <f>CONCATENATE("0050601000730       ","")</f>
        <v>0050601000730       </v>
      </c>
      <c r="F316" t="str">
        <f>CONCATENATE("605390727","")</f>
        <v>605390727</v>
      </c>
      <c r="G316" t="s">
        <v>682</v>
      </c>
      <c r="H316" t="s">
        <v>694</v>
      </c>
      <c r="I316" t="s">
        <v>221</v>
      </c>
      <c r="J316" t="str">
        <f t="shared" si="42"/>
        <v>080506</v>
      </c>
      <c r="K316" t="s">
        <v>23</v>
      </c>
      <c r="L316" t="s">
        <v>24</v>
      </c>
      <c r="M316" t="str">
        <f t="shared" si="43"/>
        <v>1</v>
      </c>
      <c r="O316" t="str">
        <f t="shared" si="41"/>
        <v>1 </v>
      </c>
      <c r="P316">
        <v>17.65</v>
      </c>
      <c r="Q316" t="s">
        <v>25</v>
      </c>
    </row>
    <row r="317" spans="1:17" ht="12.75">
      <c r="A317" t="s">
        <v>17</v>
      </c>
      <c r="B317" t="s">
        <v>18</v>
      </c>
      <c r="C317" t="s">
        <v>606</v>
      </c>
      <c r="D317" t="str">
        <f>CONCATENATE("0130020350","")</f>
        <v>0130020350</v>
      </c>
      <c r="E317" t="str">
        <f>CONCATENATE("0050601001133       ","")</f>
        <v>0050601001133       </v>
      </c>
      <c r="F317" t="str">
        <f>CONCATENATE("1601681","")</f>
        <v>1601681</v>
      </c>
      <c r="G317" t="s">
        <v>682</v>
      </c>
      <c r="H317" t="s">
        <v>695</v>
      </c>
      <c r="I317" t="s">
        <v>696</v>
      </c>
      <c r="J317" t="str">
        <f t="shared" si="42"/>
        <v>080506</v>
      </c>
      <c r="K317" t="s">
        <v>23</v>
      </c>
      <c r="L317" t="s">
        <v>24</v>
      </c>
      <c r="M317" t="str">
        <f t="shared" si="43"/>
        <v>1</v>
      </c>
      <c r="O317" t="str">
        <f t="shared" si="41"/>
        <v>1 </v>
      </c>
      <c r="P317">
        <v>32.15</v>
      </c>
      <c r="Q317" t="s">
        <v>25</v>
      </c>
    </row>
    <row r="318" spans="1:17" ht="12.75">
      <c r="A318" t="s">
        <v>17</v>
      </c>
      <c r="B318" t="s">
        <v>18</v>
      </c>
      <c r="C318" t="s">
        <v>606</v>
      </c>
      <c r="D318" t="str">
        <f>CONCATENATE("0130002409","")</f>
        <v>0130002409</v>
      </c>
      <c r="E318" t="str">
        <f>CONCATENATE("0050601001230       ","")</f>
        <v>0050601001230       </v>
      </c>
      <c r="F318" t="str">
        <f>CONCATENATE("605392764","")</f>
        <v>605392764</v>
      </c>
      <c r="G318" t="s">
        <v>682</v>
      </c>
      <c r="H318" t="s">
        <v>697</v>
      </c>
      <c r="I318" t="s">
        <v>698</v>
      </c>
      <c r="J318" t="str">
        <f t="shared" si="42"/>
        <v>080506</v>
      </c>
      <c r="K318" t="s">
        <v>23</v>
      </c>
      <c r="L318" t="s">
        <v>24</v>
      </c>
      <c r="M318" t="str">
        <f t="shared" si="43"/>
        <v>1</v>
      </c>
      <c r="O318" t="str">
        <f t="shared" si="41"/>
        <v>1 </v>
      </c>
      <c r="P318">
        <v>19.1</v>
      </c>
      <c r="Q318" t="s">
        <v>25</v>
      </c>
    </row>
    <row r="319" spans="1:17" ht="12.75">
      <c r="A319" t="s">
        <v>17</v>
      </c>
      <c r="B319" t="s">
        <v>18</v>
      </c>
      <c r="C319" t="s">
        <v>606</v>
      </c>
      <c r="D319" t="str">
        <f>CONCATENATE("0130002414","")</f>
        <v>0130002414</v>
      </c>
      <c r="E319" t="str">
        <f>CONCATENATE("0050601001320       ","")</f>
        <v>0050601001320       </v>
      </c>
      <c r="F319" t="str">
        <f>CONCATENATE("605392770","")</f>
        <v>605392770</v>
      </c>
      <c r="G319" t="s">
        <v>682</v>
      </c>
      <c r="H319" t="s">
        <v>699</v>
      </c>
      <c r="I319" t="s">
        <v>698</v>
      </c>
      <c r="J319" t="str">
        <f t="shared" si="42"/>
        <v>080506</v>
      </c>
      <c r="K319" t="s">
        <v>23</v>
      </c>
      <c r="L319" t="s">
        <v>24</v>
      </c>
      <c r="M319" t="str">
        <f t="shared" si="43"/>
        <v>1</v>
      </c>
      <c r="O319" t="str">
        <f t="shared" si="41"/>
        <v>1 </v>
      </c>
      <c r="P319">
        <v>19.5</v>
      </c>
      <c r="Q319" t="s">
        <v>25</v>
      </c>
    </row>
    <row r="320" spans="1:17" ht="12.75">
      <c r="A320" t="s">
        <v>17</v>
      </c>
      <c r="B320" t="s">
        <v>18</v>
      </c>
      <c r="C320" t="s">
        <v>606</v>
      </c>
      <c r="D320" t="str">
        <f>CONCATENATE("0130019683","")</f>
        <v>0130019683</v>
      </c>
      <c r="E320" t="str">
        <f>CONCATENATE("0050601001557       ","")</f>
        <v>0050601001557       </v>
      </c>
      <c r="F320" t="str">
        <f>CONCATENATE("605934896","")</f>
        <v>605934896</v>
      </c>
      <c r="G320" t="s">
        <v>682</v>
      </c>
      <c r="H320" t="s">
        <v>700</v>
      </c>
      <c r="I320" t="s">
        <v>260</v>
      </c>
      <c r="J320" t="str">
        <f t="shared" si="42"/>
        <v>080506</v>
      </c>
      <c r="K320" t="s">
        <v>23</v>
      </c>
      <c r="L320" t="s">
        <v>24</v>
      </c>
      <c r="M320" t="str">
        <f t="shared" si="43"/>
        <v>1</v>
      </c>
      <c r="O320" t="str">
        <f t="shared" si="41"/>
        <v>1 </v>
      </c>
      <c r="P320">
        <v>27</v>
      </c>
      <c r="Q320" t="s">
        <v>25</v>
      </c>
    </row>
    <row r="321" spans="1:17" ht="12.75">
      <c r="A321" t="s">
        <v>17</v>
      </c>
      <c r="B321" t="s">
        <v>18</v>
      </c>
      <c r="C321" t="s">
        <v>606</v>
      </c>
      <c r="D321" t="str">
        <f>CONCATENATE("0130021354","")</f>
        <v>0130021354</v>
      </c>
      <c r="E321" t="str">
        <f>CONCATENATE("0050602000013       ","")</f>
        <v>0050602000013       </v>
      </c>
      <c r="F321" t="str">
        <f>CONCATENATE("1943543","")</f>
        <v>1943543</v>
      </c>
      <c r="G321" t="s">
        <v>682</v>
      </c>
      <c r="H321" t="s">
        <v>701</v>
      </c>
      <c r="I321" t="s">
        <v>702</v>
      </c>
      <c r="J321" t="str">
        <f t="shared" si="42"/>
        <v>080506</v>
      </c>
      <c r="K321" t="s">
        <v>23</v>
      </c>
      <c r="L321" t="s">
        <v>24</v>
      </c>
      <c r="M321" t="str">
        <f t="shared" si="43"/>
        <v>1</v>
      </c>
      <c r="O321" t="str">
        <f t="shared" si="41"/>
        <v>1 </v>
      </c>
      <c r="P321">
        <v>11.6</v>
      </c>
      <c r="Q321" t="s">
        <v>25</v>
      </c>
    </row>
    <row r="322" spans="1:17" ht="12.75">
      <c r="A322" t="s">
        <v>17</v>
      </c>
      <c r="B322" t="s">
        <v>18</v>
      </c>
      <c r="C322" t="s">
        <v>606</v>
      </c>
      <c r="D322" t="str">
        <f>CONCATENATE("0040030172","")</f>
        <v>0040030172</v>
      </c>
      <c r="E322" t="str">
        <f>CONCATENATE("0050602000060       ","")</f>
        <v>0050602000060       </v>
      </c>
      <c r="F322" t="str">
        <f>CONCATENATE("2190860","")</f>
        <v>2190860</v>
      </c>
      <c r="G322" t="s">
        <v>682</v>
      </c>
      <c r="H322" t="s">
        <v>703</v>
      </c>
      <c r="I322" t="s">
        <v>327</v>
      </c>
      <c r="J322" t="str">
        <f t="shared" si="42"/>
        <v>080506</v>
      </c>
      <c r="K322" t="s">
        <v>23</v>
      </c>
      <c r="L322" t="s">
        <v>24</v>
      </c>
      <c r="M322" t="str">
        <f t="shared" si="43"/>
        <v>1</v>
      </c>
      <c r="O322" t="str">
        <f t="shared" si="41"/>
        <v>1 </v>
      </c>
      <c r="P322">
        <v>14.3</v>
      </c>
      <c r="Q322" t="s">
        <v>25</v>
      </c>
    </row>
    <row r="323" spans="1:17" ht="12.75">
      <c r="A323" t="s">
        <v>17</v>
      </c>
      <c r="B323" t="s">
        <v>18</v>
      </c>
      <c r="C323" t="s">
        <v>606</v>
      </c>
      <c r="D323" t="str">
        <f>CONCATENATE("0130021514","")</f>
        <v>0130021514</v>
      </c>
      <c r="E323" t="str">
        <f>CONCATENATE("0050602000392       ","")</f>
        <v>0050602000392       </v>
      </c>
      <c r="F323" t="str">
        <f>CONCATENATE("2150406","")</f>
        <v>2150406</v>
      </c>
      <c r="G323" t="s">
        <v>682</v>
      </c>
      <c r="H323" t="s">
        <v>704</v>
      </c>
      <c r="I323" t="s">
        <v>327</v>
      </c>
      <c r="J323" t="str">
        <f t="shared" si="42"/>
        <v>080506</v>
      </c>
      <c r="K323" t="s">
        <v>23</v>
      </c>
      <c r="L323" t="s">
        <v>24</v>
      </c>
      <c r="M323" t="str">
        <f t="shared" si="43"/>
        <v>1</v>
      </c>
      <c r="O323" t="str">
        <f t="shared" si="41"/>
        <v>1 </v>
      </c>
      <c r="P323">
        <v>21.5</v>
      </c>
      <c r="Q323" t="s">
        <v>25</v>
      </c>
    </row>
    <row r="324" spans="1:17" ht="12.75">
      <c r="A324" t="s">
        <v>17</v>
      </c>
      <c r="B324" t="s">
        <v>18</v>
      </c>
      <c r="C324" t="s">
        <v>606</v>
      </c>
      <c r="D324" t="str">
        <f>CONCATENATE("0130019155","")</f>
        <v>0130019155</v>
      </c>
      <c r="E324" t="str">
        <f>CONCATENATE("0050602000405       ","")</f>
        <v>0050602000405       </v>
      </c>
      <c r="F324" t="str">
        <f>CONCATENATE("605934221","")</f>
        <v>605934221</v>
      </c>
      <c r="G324" t="s">
        <v>682</v>
      </c>
      <c r="H324" t="s">
        <v>705</v>
      </c>
      <c r="I324" t="s">
        <v>706</v>
      </c>
      <c r="J324" t="str">
        <f t="shared" si="42"/>
        <v>080506</v>
      </c>
      <c r="K324" t="s">
        <v>23</v>
      </c>
      <c r="L324" t="s">
        <v>24</v>
      </c>
      <c r="M324" t="str">
        <f t="shared" si="43"/>
        <v>1</v>
      </c>
      <c r="O324" t="str">
        <f t="shared" si="41"/>
        <v>1 </v>
      </c>
      <c r="P324">
        <v>55.65</v>
      </c>
      <c r="Q324" t="s">
        <v>25</v>
      </c>
    </row>
    <row r="325" spans="1:17" ht="12.75">
      <c r="A325" t="s">
        <v>17</v>
      </c>
      <c r="B325" t="s">
        <v>18</v>
      </c>
      <c r="C325" t="s">
        <v>606</v>
      </c>
      <c r="D325" t="str">
        <f>CONCATENATE("0130002441","")</f>
        <v>0130002441</v>
      </c>
      <c r="E325" t="str">
        <f>CONCATENATE("0050602000430       ","")</f>
        <v>0050602000430       </v>
      </c>
      <c r="F325" t="str">
        <f>CONCATENATE("605120718","")</f>
        <v>605120718</v>
      </c>
      <c r="G325" t="s">
        <v>682</v>
      </c>
      <c r="H325" t="s">
        <v>707</v>
      </c>
      <c r="I325" t="s">
        <v>708</v>
      </c>
      <c r="J325" t="str">
        <f t="shared" si="42"/>
        <v>080506</v>
      </c>
      <c r="K325" t="s">
        <v>23</v>
      </c>
      <c r="L325" t="s">
        <v>24</v>
      </c>
      <c r="M325" t="str">
        <f t="shared" si="43"/>
        <v>1</v>
      </c>
      <c r="O325" t="str">
        <f t="shared" si="41"/>
        <v>1 </v>
      </c>
      <c r="P325">
        <v>39.7</v>
      </c>
      <c r="Q325" t="s">
        <v>25</v>
      </c>
    </row>
    <row r="326" spans="1:17" ht="12.75">
      <c r="A326" t="s">
        <v>17</v>
      </c>
      <c r="B326" t="s">
        <v>18</v>
      </c>
      <c r="C326" t="s">
        <v>606</v>
      </c>
      <c r="D326" t="str">
        <f>CONCATENATE("0130002448","")</f>
        <v>0130002448</v>
      </c>
      <c r="E326" t="str">
        <f>CONCATENATE("0050602000750       ","")</f>
        <v>0050602000750       </v>
      </c>
      <c r="F326" t="str">
        <f>CONCATENATE("605392774","")</f>
        <v>605392774</v>
      </c>
      <c r="G326" t="s">
        <v>682</v>
      </c>
      <c r="H326" t="s">
        <v>709</v>
      </c>
      <c r="I326" t="s">
        <v>710</v>
      </c>
      <c r="J326" t="str">
        <f t="shared" si="42"/>
        <v>080506</v>
      </c>
      <c r="K326" t="s">
        <v>23</v>
      </c>
      <c r="L326" t="s">
        <v>24</v>
      </c>
      <c r="M326" t="str">
        <f t="shared" si="43"/>
        <v>1</v>
      </c>
      <c r="O326" t="str">
        <f t="shared" si="41"/>
        <v>1 </v>
      </c>
      <c r="P326">
        <v>18.65</v>
      </c>
      <c r="Q326" t="s">
        <v>25</v>
      </c>
    </row>
    <row r="327" spans="1:17" ht="12.75">
      <c r="A327" t="s">
        <v>17</v>
      </c>
      <c r="B327" t="s">
        <v>18</v>
      </c>
      <c r="C327" t="s">
        <v>606</v>
      </c>
      <c r="D327" t="str">
        <f>CONCATENATE("0130016109","")</f>
        <v>0130016109</v>
      </c>
      <c r="E327" t="str">
        <f>CONCATENATE("0050620000370       ","")</f>
        <v>0050620000370       </v>
      </c>
      <c r="F327" t="str">
        <f>CONCATENATE("605287937","")</f>
        <v>605287937</v>
      </c>
      <c r="G327" t="s">
        <v>711</v>
      </c>
      <c r="H327" t="s">
        <v>712</v>
      </c>
      <c r="I327" t="s">
        <v>713</v>
      </c>
      <c r="J327" t="str">
        <f t="shared" si="42"/>
        <v>080506</v>
      </c>
      <c r="K327" t="s">
        <v>23</v>
      </c>
      <c r="L327" t="s">
        <v>24</v>
      </c>
      <c r="M327" t="str">
        <f t="shared" si="43"/>
        <v>1</v>
      </c>
      <c r="O327" t="str">
        <f t="shared" si="41"/>
        <v>1 </v>
      </c>
      <c r="P327">
        <v>12.55</v>
      </c>
      <c r="Q327" t="s">
        <v>25</v>
      </c>
    </row>
    <row r="328" spans="1:17" ht="12.75">
      <c r="A328" t="s">
        <v>17</v>
      </c>
      <c r="B328" t="s">
        <v>18</v>
      </c>
      <c r="C328" t="s">
        <v>606</v>
      </c>
      <c r="D328" t="str">
        <f>CONCATENATE("0130014105","")</f>
        <v>0130014105</v>
      </c>
      <c r="E328" t="str">
        <f>CONCATENATE("0050620000390       ","")</f>
        <v>0050620000390       </v>
      </c>
      <c r="F328" t="str">
        <f>CONCATENATE("606600264","")</f>
        <v>606600264</v>
      </c>
      <c r="G328" t="s">
        <v>711</v>
      </c>
      <c r="H328" t="s">
        <v>714</v>
      </c>
      <c r="I328" t="s">
        <v>715</v>
      </c>
      <c r="J328" t="str">
        <f t="shared" si="42"/>
        <v>080506</v>
      </c>
      <c r="K328" t="s">
        <v>23</v>
      </c>
      <c r="L328" t="s">
        <v>24</v>
      </c>
      <c r="M328" t="str">
        <f t="shared" si="43"/>
        <v>1</v>
      </c>
      <c r="O328" t="str">
        <f t="shared" si="41"/>
        <v>1 </v>
      </c>
      <c r="P328">
        <v>174.8</v>
      </c>
      <c r="Q328" t="s">
        <v>25</v>
      </c>
    </row>
    <row r="329" spans="1:17" ht="12.75">
      <c r="A329" t="s">
        <v>17</v>
      </c>
      <c r="B329" t="s">
        <v>18</v>
      </c>
      <c r="C329" t="s">
        <v>606</v>
      </c>
      <c r="D329" t="str">
        <f>CONCATENATE("0040037760","")</f>
        <v>0040037760</v>
      </c>
      <c r="E329" t="str">
        <f>CONCATENATE("0050620000471       ","")</f>
        <v>0050620000471       </v>
      </c>
      <c r="F329" t="str">
        <f>CONCATENATE("606756787","")</f>
        <v>606756787</v>
      </c>
      <c r="G329" t="s">
        <v>711</v>
      </c>
      <c r="H329" t="s">
        <v>716</v>
      </c>
      <c r="I329" t="s">
        <v>717</v>
      </c>
      <c r="J329" t="str">
        <f t="shared" si="42"/>
        <v>080506</v>
      </c>
      <c r="K329" t="s">
        <v>23</v>
      </c>
      <c r="L329" t="s">
        <v>24</v>
      </c>
      <c r="M329" t="str">
        <f t="shared" si="43"/>
        <v>1</v>
      </c>
      <c r="O329" t="str">
        <f t="shared" si="41"/>
        <v>1 </v>
      </c>
      <c r="P329">
        <v>21.3</v>
      </c>
      <c r="Q329" t="s">
        <v>25</v>
      </c>
    </row>
    <row r="330" spans="1:17" ht="12.75">
      <c r="A330" t="s">
        <v>17</v>
      </c>
      <c r="B330" t="s">
        <v>18</v>
      </c>
      <c r="C330" t="s">
        <v>606</v>
      </c>
      <c r="D330" t="str">
        <f>CONCATENATE("0130007243","")</f>
        <v>0130007243</v>
      </c>
      <c r="E330" t="str">
        <f>CONCATENATE("0050620001270       ","")</f>
        <v>0050620001270       </v>
      </c>
      <c r="F330" t="str">
        <f>CONCATENATE("605555194","")</f>
        <v>605555194</v>
      </c>
      <c r="G330" t="s">
        <v>711</v>
      </c>
      <c r="H330" t="s">
        <v>718</v>
      </c>
      <c r="I330" t="s">
        <v>719</v>
      </c>
      <c r="J330" t="str">
        <f t="shared" si="42"/>
        <v>080506</v>
      </c>
      <c r="K330" t="s">
        <v>23</v>
      </c>
      <c r="L330" t="s">
        <v>24</v>
      </c>
      <c r="M330" t="str">
        <f t="shared" si="43"/>
        <v>1</v>
      </c>
      <c r="O330" t="str">
        <f t="shared" si="41"/>
        <v>1 </v>
      </c>
      <c r="P330">
        <v>11.5</v>
      </c>
      <c r="Q330" t="s">
        <v>25</v>
      </c>
    </row>
    <row r="331" spans="1:17" ht="12.75">
      <c r="A331" t="s">
        <v>17</v>
      </c>
      <c r="B331" t="s">
        <v>18</v>
      </c>
      <c r="C331" t="s">
        <v>606</v>
      </c>
      <c r="D331" t="str">
        <f>CONCATENATE("0130015964","")</f>
        <v>0130015964</v>
      </c>
      <c r="E331" t="str">
        <f>CONCATENATE("0050625000370       ","")</f>
        <v>0050625000370       </v>
      </c>
      <c r="F331" t="str">
        <f>CONCATENATE("606813095","")</f>
        <v>606813095</v>
      </c>
      <c r="G331" t="s">
        <v>720</v>
      </c>
      <c r="H331" t="s">
        <v>721</v>
      </c>
      <c r="I331" t="s">
        <v>722</v>
      </c>
      <c r="J331" t="str">
        <f t="shared" si="42"/>
        <v>080506</v>
      </c>
      <c r="K331" t="s">
        <v>23</v>
      </c>
      <c r="L331" t="s">
        <v>24</v>
      </c>
      <c r="M331" t="str">
        <f t="shared" si="43"/>
        <v>1</v>
      </c>
      <c r="O331" t="str">
        <f t="shared" si="41"/>
        <v>1 </v>
      </c>
      <c r="P331">
        <v>13.3</v>
      </c>
      <c r="Q331" t="s">
        <v>25</v>
      </c>
    </row>
    <row r="332" spans="1:17" ht="12.75">
      <c r="A332" t="s">
        <v>17</v>
      </c>
      <c r="B332" t="s">
        <v>18</v>
      </c>
      <c r="C332" t="s">
        <v>188</v>
      </c>
      <c r="D332" t="str">
        <f>CONCATENATE("0130002558","")</f>
        <v>0130002558</v>
      </c>
      <c r="E332" t="str">
        <f>CONCATENATE("0050626000050       ","")</f>
        <v>0050626000050       </v>
      </c>
      <c r="F332" t="str">
        <f>CONCATENATE("605397378","")</f>
        <v>605397378</v>
      </c>
      <c r="G332" t="s">
        <v>723</v>
      </c>
      <c r="H332" t="s">
        <v>724</v>
      </c>
      <c r="I332" t="s">
        <v>725</v>
      </c>
      <c r="J332" t="str">
        <f>CONCATENATE("080204","")</f>
        <v>080204</v>
      </c>
      <c r="K332" t="s">
        <v>23</v>
      </c>
      <c r="L332" t="s">
        <v>24</v>
      </c>
      <c r="M332" t="str">
        <f t="shared" si="43"/>
        <v>1</v>
      </c>
      <c r="O332" t="str">
        <f t="shared" si="41"/>
        <v>1 </v>
      </c>
      <c r="P332">
        <v>83.8</v>
      </c>
      <c r="Q332" t="s">
        <v>25</v>
      </c>
    </row>
    <row r="333" spans="1:17" ht="12.75">
      <c r="A333" t="s">
        <v>17</v>
      </c>
      <c r="B333" t="s">
        <v>18</v>
      </c>
      <c r="C333" t="s">
        <v>188</v>
      </c>
      <c r="D333" t="str">
        <f>CONCATENATE("0040026894","")</f>
        <v>0040026894</v>
      </c>
      <c r="E333" t="str">
        <f>CONCATENATE("0050626000156       ","")</f>
        <v>0050626000156       </v>
      </c>
      <c r="F333" t="str">
        <f>CONCATENATE("2129454","")</f>
        <v>2129454</v>
      </c>
      <c r="G333" t="s">
        <v>723</v>
      </c>
      <c r="H333" t="s">
        <v>726</v>
      </c>
      <c r="I333" t="s">
        <v>727</v>
      </c>
      <c r="J333" t="str">
        <f>CONCATENATE("080204","")</f>
        <v>080204</v>
      </c>
      <c r="K333" t="s">
        <v>23</v>
      </c>
      <c r="L333" t="s">
        <v>24</v>
      </c>
      <c r="M333" t="str">
        <f t="shared" si="43"/>
        <v>1</v>
      </c>
      <c r="O333" t="str">
        <f t="shared" si="41"/>
        <v>1 </v>
      </c>
      <c r="P333">
        <v>14.75</v>
      </c>
      <c r="Q333" t="s">
        <v>25</v>
      </c>
    </row>
    <row r="334" spans="1:17" ht="12.75">
      <c r="A334" t="s">
        <v>17</v>
      </c>
      <c r="B334" t="s">
        <v>18</v>
      </c>
      <c r="C334" t="s">
        <v>273</v>
      </c>
      <c r="D334" t="str">
        <f>CONCATENATE("0130009591","")</f>
        <v>0130009591</v>
      </c>
      <c r="E334" t="str">
        <f>CONCATENATE("0050801000012       ","")</f>
        <v>0050801000012       </v>
      </c>
      <c r="F334" t="str">
        <f>CONCATENATE("606744744","")</f>
        <v>606744744</v>
      </c>
      <c r="G334" t="s">
        <v>728</v>
      </c>
      <c r="H334" t="s">
        <v>729</v>
      </c>
      <c r="I334" t="s">
        <v>730</v>
      </c>
      <c r="J334" t="str">
        <f aca="true" t="shared" si="44" ref="J334:J354">CONCATENATE("080508","")</f>
        <v>080508</v>
      </c>
      <c r="K334" t="s">
        <v>23</v>
      </c>
      <c r="L334" t="s">
        <v>24</v>
      </c>
      <c r="M334" t="str">
        <f t="shared" si="43"/>
        <v>1</v>
      </c>
      <c r="O334" t="str">
        <f t="shared" si="41"/>
        <v>1 </v>
      </c>
      <c r="P334">
        <v>1180.6</v>
      </c>
      <c r="Q334" t="s">
        <v>25</v>
      </c>
    </row>
    <row r="335" spans="1:17" ht="12.75">
      <c r="A335" t="s">
        <v>17</v>
      </c>
      <c r="B335" t="s">
        <v>18</v>
      </c>
      <c r="C335" t="s">
        <v>273</v>
      </c>
      <c r="D335" t="str">
        <f>CONCATENATE("0040035720","")</f>
        <v>0040035720</v>
      </c>
      <c r="E335" t="str">
        <f>CONCATENATE("0050801000044       ","")</f>
        <v>0050801000044       </v>
      </c>
      <c r="F335" t="str">
        <f>CONCATENATE("606598641","")</f>
        <v>606598641</v>
      </c>
      <c r="G335" t="s">
        <v>731</v>
      </c>
      <c r="H335" t="s">
        <v>732</v>
      </c>
      <c r="I335" t="s">
        <v>468</v>
      </c>
      <c r="J335" t="str">
        <f t="shared" si="44"/>
        <v>080508</v>
      </c>
      <c r="K335" t="s">
        <v>23</v>
      </c>
      <c r="L335" t="s">
        <v>24</v>
      </c>
      <c r="M335" t="str">
        <f t="shared" si="43"/>
        <v>1</v>
      </c>
      <c r="O335" t="str">
        <f t="shared" si="41"/>
        <v>1 </v>
      </c>
      <c r="P335">
        <v>12.7</v>
      </c>
      <c r="Q335" t="s">
        <v>25</v>
      </c>
    </row>
    <row r="336" spans="1:17" ht="12.75">
      <c r="A336" t="s">
        <v>17</v>
      </c>
      <c r="B336" t="s">
        <v>18</v>
      </c>
      <c r="C336" t="s">
        <v>273</v>
      </c>
      <c r="D336" t="str">
        <f>CONCATENATE("0130009557","")</f>
        <v>0130009557</v>
      </c>
      <c r="E336" t="str">
        <f>CONCATENATE("0050801000057       ","")</f>
        <v>0050801000057       </v>
      </c>
      <c r="F336" t="str">
        <f>CONCATENATE("605354683","")</f>
        <v>605354683</v>
      </c>
      <c r="G336" t="s">
        <v>731</v>
      </c>
      <c r="H336" t="s">
        <v>733</v>
      </c>
      <c r="I336" t="s">
        <v>734</v>
      </c>
      <c r="J336" t="str">
        <f t="shared" si="44"/>
        <v>080508</v>
      </c>
      <c r="K336" t="s">
        <v>23</v>
      </c>
      <c r="L336" t="s">
        <v>24</v>
      </c>
      <c r="M336" t="str">
        <f t="shared" si="43"/>
        <v>1</v>
      </c>
      <c r="O336" t="str">
        <f t="shared" si="41"/>
        <v>1 </v>
      </c>
      <c r="P336">
        <v>24.45</v>
      </c>
      <c r="Q336" t="s">
        <v>25</v>
      </c>
    </row>
    <row r="337" spans="1:17" ht="12.75">
      <c r="A337" t="s">
        <v>17</v>
      </c>
      <c r="B337" t="s">
        <v>18</v>
      </c>
      <c r="C337" t="s">
        <v>273</v>
      </c>
      <c r="D337" t="str">
        <f>CONCATENATE("0130009431","")</f>
        <v>0130009431</v>
      </c>
      <c r="E337" t="str">
        <f>CONCATENATE("0050801000085       ","")</f>
        <v>0050801000085       </v>
      </c>
      <c r="F337" t="str">
        <f>CONCATENATE("65354682","")</f>
        <v>65354682</v>
      </c>
      <c r="G337" t="s">
        <v>731</v>
      </c>
      <c r="H337" t="s">
        <v>735</v>
      </c>
      <c r="I337" t="s">
        <v>736</v>
      </c>
      <c r="J337" t="str">
        <f t="shared" si="44"/>
        <v>080508</v>
      </c>
      <c r="K337" t="s">
        <v>23</v>
      </c>
      <c r="L337" t="s">
        <v>24</v>
      </c>
      <c r="M337" t="str">
        <f t="shared" si="43"/>
        <v>1</v>
      </c>
      <c r="O337" t="str">
        <f t="shared" si="41"/>
        <v>1 </v>
      </c>
      <c r="P337">
        <v>41.25</v>
      </c>
      <c r="Q337" t="s">
        <v>25</v>
      </c>
    </row>
    <row r="338" spans="1:17" ht="12.75">
      <c r="A338" t="s">
        <v>17</v>
      </c>
      <c r="B338" t="s">
        <v>18</v>
      </c>
      <c r="C338" t="s">
        <v>273</v>
      </c>
      <c r="D338" t="str">
        <f>CONCATENATE("0130002641","")</f>
        <v>0130002641</v>
      </c>
      <c r="E338" t="str">
        <f>CONCATENATE("0050801000410       ","")</f>
        <v>0050801000410       </v>
      </c>
      <c r="F338" t="str">
        <f>CONCATENATE("605398254","")</f>
        <v>605398254</v>
      </c>
      <c r="G338" t="s">
        <v>728</v>
      </c>
      <c r="H338" t="s">
        <v>737</v>
      </c>
      <c r="I338" t="s">
        <v>738</v>
      </c>
      <c r="J338" t="str">
        <f t="shared" si="44"/>
        <v>080508</v>
      </c>
      <c r="K338" t="s">
        <v>23</v>
      </c>
      <c r="L338" t="s">
        <v>24</v>
      </c>
      <c r="M338" t="str">
        <f t="shared" si="43"/>
        <v>1</v>
      </c>
      <c r="O338" t="str">
        <f t="shared" si="41"/>
        <v>1 </v>
      </c>
      <c r="P338">
        <v>26.7</v>
      </c>
      <c r="Q338" t="s">
        <v>25</v>
      </c>
    </row>
    <row r="339" spans="1:17" ht="12.75">
      <c r="A339" t="s">
        <v>17</v>
      </c>
      <c r="B339" t="s">
        <v>18</v>
      </c>
      <c r="C339" t="s">
        <v>273</v>
      </c>
      <c r="D339" t="str">
        <f>CONCATENATE("0130014471","")</f>
        <v>0130014471</v>
      </c>
      <c r="E339" t="str">
        <f>CONCATENATE("0050801000418       ","")</f>
        <v>0050801000418       </v>
      </c>
      <c r="F339" t="str">
        <f>CONCATENATE("606668136","")</f>
        <v>606668136</v>
      </c>
      <c r="G339" t="s">
        <v>728</v>
      </c>
      <c r="H339" t="s">
        <v>739</v>
      </c>
      <c r="I339" t="s">
        <v>740</v>
      </c>
      <c r="J339" t="str">
        <f t="shared" si="44"/>
        <v>080508</v>
      </c>
      <c r="K339" t="s">
        <v>23</v>
      </c>
      <c r="L339" t="s">
        <v>24</v>
      </c>
      <c r="M339" t="str">
        <f t="shared" si="43"/>
        <v>1</v>
      </c>
      <c r="O339" t="str">
        <f t="shared" si="41"/>
        <v>1 </v>
      </c>
      <c r="P339">
        <v>96.1</v>
      </c>
      <c r="Q339" t="s">
        <v>25</v>
      </c>
    </row>
    <row r="340" spans="1:17" ht="12.75">
      <c r="A340" t="s">
        <v>17</v>
      </c>
      <c r="B340" t="s">
        <v>18</v>
      </c>
      <c r="C340" t="s">
        <v>273</v>
      </c>
      <c r="D340" t="str">
        <f>CONCATENATE("0130002646","")</f>
        <v>0130002646</v>
      </c>
      <c r="E340" t="str">
        <f>CONCATENATE("0050801000428       ","")</f>
        <v>0050801000428       </v>
      </c>
      <c r="F340" t="str">
        <f>CONCATENATE("605120695","")</f>
        <v>605120695</v>
      </c>
      <c r="G340" t="s">
        <v>728</v>
      </c>
      <c r="H340" t="s">
        <v>741</v>
      </c>
      <c r="I340" t="s">
        <v>742</v>
      </c>
      <c r="J340" t="str">
        <f t="shared" si="44"/>
        <v>080508</v>
      </c>
      <c r="K340" t="s">
        <v>23</v>
      </c>
      <c r="L340" t="s">
        <v>24</v>
      </c>
      <c r="M340" t="str">
        <f t="shared" si="43"/>
        <v>1</v>
      </c>
      <c r="O340" t="str">
        <f t="shared" si="41"/>
        <v>1 </v>
      </c>
      <c r="P340">
        <v>21</v>
      </c>
      <c r="Q340" t="s">
        <v>25</v>
      </c>
    </row>
    <row r="341" spans="1:17" ht="12.75">
      <c r="A341" t="s">
        <v>17</v>
      </c>
      <c r="B341" t="s">
        <v>18</v>
      </c>
      <c r="C341" t="s">
        <v>273</v>
      </c>
      <c r="D341" t="str">
        <f>CONCATENATE("0130007697","")</f>
        <v>0130007697</v>
      </c>
      <c r="E341" t="str">
        <f>CONCATENATE("0050801000520       ","")</f>
        <v>0050801000520       </v>
      </c>
      <c r="F341" t="str">
        <f>CONCATENATE("605119722","")</f>
        <v>605119722</v>
      </c>
      <c r="G341" t="s">
        <v>731</v>
      </c>
      <c r="H341" t="s">
        <v>743</v>
      </c>
      <c r="I341" t="s">
        <v>744</v>
      </c>
      <c r="J341" t="str">
        <f t="shared" si="44"/>
        <v>080508</v>
      </c>
      <c r="K341" t="s">
        <v>23</v>
      </c>
      <c r="L341" t="s">
        <v>24</v>
      </c>
      <c r="M341" t="str">
        <f t="shared" si="43"/>
        <v>1</v>
      </c>
      <c r="O341" t="str">
        <f t="shared" si="41"/>
        <v>1 </v>
      </c>
      <c r="P341">
        <v>21.3</v>
      </c>
      <c r="Q341" t="s">
        <v>25</v>
      </c>
    </row>
    <row r="342" spans="1:17" ht="12.75">
      <c r="A342" t="s">
        <v>17</v>
      </c>
      <c r="B342" t="s">
        <v>18</v>
      </c>
      <c r="C342" t="s">
        <v>273</v>
      </c>
      <c r="D342" t="str">
        <f>CONCATENATE("0130008413","")</f>
        <v>0130008413</v>
      </c>
      <c r="E342" t="str">
        <f>CONCATENATE("0050805000020       ","")</f>
        <v>0050805000020       </v>
      </c>
      <c r="F342" t="str">
        <f>CONCATENATE("605398272","")</f>
        <v>605398272</v>
      </c>
      <c r="G342" t="s">
        <v>745</v>
      </c>
      <c r="H342" t="s">
        <v>746</v>
      </c>
      <c r="I342" t="s">
        <v>747</v>
      </c>
      <c r="J342" t="str">
        <f t="shared" si="44"/>
        <v>080508</v>
      </c>
      <c r="K342" t="s">
        <v>23</v>
      </c>
      <c r="L342" t="s">
        <v>24</v>
      </c>
      <c r="M342" t="str">
        <f t="shared" si="43"/>
        <v>1</v>
      </c>
      <c r="O342" t="str">
        <f t="shared" si="41"/>
        <v>1 </v>
      </c>
      <c r="P342">
        <v>50.75</v>
      </c>
      <c r="Q342" t="s">
        <v>25</v>
      </c>
    </row>
    <row r="343" spans="1:17" ht="12.75">
      <c r="A343" t="s">
        <v>17</v>
      </c>
      <c r="B343" t="s">
        <v>18</v>
      </c>
      <c r="C343" t="s">
        <v>273</v>
      </c>
      <c r="D343" t="str">
        <f>CONCATENATE("0130008416","")</f>
        <v>0130008416</v>
      </c>
      <c r="E343" t="str">
        <f>CONCATENATE("0050805000050       ","")</f>
        <v>0050805000050       </v>
      </c>
      <c r="F343" t="str">
        <f>CONCATENATE("605398275","")</f>
        <v>605398275</v>
      </c>
      <c r="G343" t="s">
        <v>745</v>
      </c>
      <c r="H343" t="s">
        <v>748</v>
      </c>
      <c r="I343" t="s">
        <v>747</v>
      </c>
      <c r="J343" t="str">
        <f t="shared" si="44"/>
        <v>080508</v>
      </c>
      <c r="K343" t="s">
        <v>23</v>
      </c>
      <c r="L343" t="s">
        <v>24</v>
      </c>
      <c r="M343" t="str">
        <f aca="true" t="shared" si="45" ref="M343:M368">CONCATENATE("1","")</f>
        <v>1</v>
      </c>
      <c r="O343" t="str">
        <f t="shared" si="41"/>
        <v>1 </v>
      </c>
      <c r="P343">
        <v>16.55</v>
      </c>
      <c r="Q343" t="s">
        <v>25</v>
      </c>
    </row>
    <row r="344" spans="1:17" ht="12.75">
      <c r="A344" t="s">
        <v>17</v>
      </c>
      <c r="B344" t="s">
        <v>18</v>
      </c>
      <c r="C344" t="s">
        <v>273</v>
      </c>
      <c r="D344" t="str">
        <f>CONCATENATE("0130008434","")</f>
        <v>0130008434</v>
      </c>
      <c r="E344" t="str">
        <f>CONCATENATE("0050805000230       ","")</f>
        <v>0050805000230       </v>
      </c>
      <c r="F344" t="str">
        <f>CONCATENATE("605398249","")</f>
        <v>605398249</v>
      </c>
      <c r="G344" t="s">
        <v>745</v>
      </c>
      <c r="H344" t="s">
        <v>749</v>
      </c>
      <c r="I344" t="s">
        <v>750</v>
      </c>
      <c r="J344" t="str">
        <f t="shared" si="44"/>
        <v>080508</v>
      </c>
      <c r="K344" t="s">
        <v>23</v>
      </c>
      <c r="L344" t="s">
        <v>24</v>
      </c>
      <c r="M344" t="str">
        <f t="shared" si="45"/>
        <v>1</v>
      </c>
      <c r="O344" t="str">
        <f t="shared" si="41"/>
        <v>1 </v>
      </c>
      <c r="P344">
        <v>17.35</v>
      </c>
      <c r="Q344" t="s">
        <v>25</v>
      </c>
    </row>
    <row r="345" spans="1:17" ht="12.75">
      <c r="A345" t="s">
        <v>17</v>
      </c>
      <c r="B345" t="s">
        <v>18</v>
      </c>
      <c r="C345" t="s">
        <v>273</v>
      </c>
      <c r="D345" t="str">
        <f>CONCATENATE("0040039237","")</f>
        <v>0040039237</v>
      </c>
      <c r="E345" t="str">
        <f>CONCATENATE("0050810000065       ","")</f>
        <v>0050810000065       </v>
      </c>
      <c r="F345" t="str">
        <f>CONCATENATE("606748075","")</f>
        <v>606748075</v>
      </c>
      <c r="G345" t="s">
        <v>751</v>
      </c>
      <c r="H345" t="s">
        <v>752</v>
      </c>
      <c r="I345" t="s">
        <v>753</v>
      </c>
      <c r="J345" t="str">
        <f t="shared" si="44"/>
        <v>080508</v>
      </c>
      <c r="K345" t="s">
        <v>23</v>
      </c>
      <c r="L345" t="s">
        <v>24</v>
      </c>
      <c r="M345" t="str">
        <f t="shared" si="45"/>
        <v>1</v>
      </c>
      <c r="O345" t="str">
        <f t="shared" si="41"/>
        <v>1 </v>
      </c>
      <c r="P345">
        <v>102.7</v>
      </c>
      <c r="Q345" t="s">
        <v>25</v>
      </c>
    </row>
    <row r="346" spans="1:17" ht="12.75">
      <c r="A346" t="s">
        <v>17</v>
      </c>
      <c r="B346" t="s">
        <v>18</v>
      </c>
      <c r="C346" t="s">
        <v>273</v>
      </c>
      <c r="D346" t="str">
        <f>CONCATENATE("0130020922","")</f>
        <v>0130020922</v>
      </c>
      <c r="E346" t="str">
        <f>CONCATENATE("0050810000075       ","")</f>
        <v>0050810000075       </v>
      </c>
      <c r="F346" t="str">
        <f>CONCATENATE("606802059","")</f>
        <v>606802059</v>
      </c>
      <c r="G346" t="s">
        <v>751</v>
      </c>
      <c r="H346" t="s">
        <v>754</v>
      </c>
      <c r="I346" t="s">
        <v>755</v>
      </c>
      <c r="J346" t="str">
        <f t="shared" si="44"/>
        <v>080508</v>
      </c>
      <c r="K346" t="s">
        <v>23</v>
      </c>
      <c r="L346" t="s">
        <v>24</v>
      </c>
      <c r="M346" t="str">
        <f t="shared" si="45"/>
        <v>1</v>
      </c>
      <c r="O346" t="str">
        <f t="shared" si="41"/>
        <v>1 </v>
      </c>
      <c r="P346">
        <v>10.8</v>
      </c>
      <c r="Q346" t="s">
        <v>25</v>
      </c>
    </row>
    <row r="347" spans="1:17" ht="12.75">
      <c r="A347" t="s">
        <v>17</v>
      </c>
      <c r="B347" t="s">
        <v>18</v>
      </c>
      <c r="C347" t="s">
        <v>273</v>
      </c>
      <c r="D347" t="str">
        <f>CONCATENATE("0130002662","")</f>
        <v>0130002662</v>
      </c>
      <c r="E347" t="str">
        <f>CONCATENATE("0050810000120       ","")</f>
        <v>0050810000120       </v>
      </c>
      <c r="F347" t="str">
        <f>CONCATENATE("0605772482","")</f>
        <v>0605772482</v>
      </c>
      <c r="G347" t="s">
        <v>751</v>
      </c>
      <c r="H347" t="s">
        <v>756</v>
      </c>
      <c r="I347" t="s">
        <v>757</v>
      </c>
      <c r="J347" t="str">
        <f t="shared" si="44"/>
        <v>080508</v>
      </c>
      <c r="K347" t="s">
        <v>23</v>
      </c>
      <c r="L347" t="s">
        <v>24</v>
      </c>
      <c r="M347" t="str">
        <f t="shared" si="45"/>
        <v>1</v>
      </c>
      <c r="O347" t="str">
        <f>CONCATENATE("2 ","")</f>
        <v>2 </v>
      </c>
      <c r="P347">
        <v>17.65</v>
      </c>
      <c r="Q347" t="s">
        <v>25</v>
      </c>
    </row>
    <row r="348" spans="1:17" ht="12.75">
      <c r="A348" t="s">
        <v>17</v>
      </c>
      <c r="B348" t="s">
        <v>18</v>
      </c>
      <c r="C348" t="s">
        <v>273</v>
      </c>
      <c r="D348" t="str">
        <f>CONCATENATE("0130002665","")</f>
        <v>0130002665</v>
      </c>
      <c r="E348" t="str">
        <f>CONCATENATE("0050810000160       ","")</f>
        <v>0050810000160       </v>
      </c>
      <c r="F348" t="str">
        <f>CONCATENATE("605351865","")</f>
        <v>605351865</v>
      </c>
      <c r="G348" t="s">
        <v>751</v>
      </c>
      <c r="H348" t="s">
        <v>758</v>
      </c>
      <c r="I348" t="s">
        <v>759</v>
      </c>
      <c r="J348" t="str">
        <f t="shared" si="44"/>
        <v>080508</v>
      </c>
      <c r="K348" t="s">
        <v>23</v>
      </c>
      <c r="L348" t="s">
        <v>24</v>
      </c>
      <c r="M348" t="str">
        <f t="shared" si="45"/>
        <v>1</v>
      </c>
      <c r="O348" t="str">
        <f>CONCATENATE("1 ","")</f>
        <v>1 </v>
      </c>
      <c r="P348">
        <v>23.65</v>
      </c>
      <c r="Q348" t="s">
        <v>25</v>
      </c>
    </row>
    <row r="349" spans="1:17" ht="12.75">
      <c r="A349" t="s">
        <v>17</v>
      </c>
      <c r="B349" t="s">
        <v>18</v>
      </c>
      <c r="C349" t="s">
        <v>273</v>
      </c>
      <c r="D349" t="str">
        <f>CONCATENATE("0130015983","")</f>
        <v>0130015983</v>
      </c>
      <c r="E349" t="str">
        <f>CONCATENATE("0050810000230       ","")</f>
        <v>0050810000230       </v>
      </c>
      <c r="F349" t="str">
        <f>CONCATENATE("605288216","")</f>
        <v>605288216</v>
      </c>
      <c r="G349" t="s">
        <v>751</v>
      </c>
      <c r="H349" t="s">
        <v>760</v>
      </c>
      <c r="I349" t="s">
        <v>761</v>
      </c>
      <c r="J349" t="str">
        <f t="shared" si="44"/>
        <v>080508</v>
      </c>
      <c r="K349" t="s">
        <v>23</v>
      </c>
      <c r="L349" t="s">
        <v>24</v>
      </c>
      <c r="M349" t="str">
        <f t="shared" si="45"/>
        <v>1</v>
      </c>
      <c r="O349" t="str">
        <f>CONCATENATE("1 ","")</f>
        <v>1 </v>
      </c>
      <c r="P349">
        <v>16.6</v>
      </c>
      <c r="Q349" t="s">
        <v>25</v>
      </c>
    </row>
    <row r="350" spans="1:17" ht="12.75">
      <c r="A350" t="s">
        <v>17</v>
      </c>
      <c r="B350" t="s">
        <v>18</v>
      </c>
      <c r="C350" t="s">
        <v>273</v>
      </c>
      <c r="D350" t="str">
        <f>CONCATENATE("0130002674","")</f>
        <v>0130002674</v>
      </c>
      <c r="E350" t="str">
        <f>CONCATENATE("0050810000290       ","")</f>
        <v>0050810000290       </v>
      </c>
      <c r="F350" t="str">
        <f>CONCATENATE("605351873","")</f>
        <v>605351873</v>
      </c>
      <c r="G350" t="s">
        <v>751</v>
      </c>
      <c r="H350" t="s">
        <v>762</v>
      </c>
      <c r="I350" t="s">
        <v>763</v>
      </c>
      <c r="J350" t="str">
        <f t="shared" si="44"/>
        <v>080508</v>
      </c>
      <c r="K350" t="s">
        <v>23</v>
      </c>
      <c r="L350" t="s">
        <v>24</v>
      </c>
      <c r="M350" t="str">
        <f t="shared" si="45"/>
        <v>1</v>
      </c>
      <c r="O350" t="str">
        <f>CONCATENATE("3 ","")</f>
        <v>3 </v>
      </c>
      <c r="P350">
        <v>23.35</v>
      </c>
      <c r="Q350" t="s">
        <v>25</v>
      </c>
    </row>
    <row r="351" spans="1:17" ht="12.75">
      <c r="A351" t="s">
        <v>17</v>
      </c>
      <c r="B351" t="s">
        <v>18</v>
      </c>
      <c r="C351" t="s">
        <v>273</v>
      </c>
      <c r="D351" t="str">
        <f>CONCATENATE("0130002714","")</f>
        <v>0130002714</v>
      </c>
      <c r="E351" t="str">
        <f>CONCATENATE("0050810000800       ","")</f>
        <v>0050810000800       </v>
      </c>
      <c r="F351" t="str">
        <f>CONCATENATE("605353664","")</f>
        <v>605353664</v>
      </c>
      <c r="G351" t="s">
        <v>751</v>
      </c>
      <c r="H351" t="s">
        <v>764</v>
      </c>
      <c r="I351" t="s">
        <v>765</v>
      </c>
      <c r="J351" t="str">
        <f t="shared" si="44"/>
        <v>080508</v>
      </c>
      <c r="K351" t="s">
        <v>23</v>
      </c>
      <c r="L351" t="s">
        <v>24</v>
      </c>
      <c r="M351" t="str">
        <f t="shared" si="45"/>
        <v>1</v>
      </c>
      <c r="O351" t="str">
        <f aca="true" t="shared" si="46" ref="O351:O363">CONCATENATE("1 ","")</f>
        <v>1 </v>
      </c>
      <c r="P351">
        <v>18.1</v>
      </c>
      <c r="Q351" t="s">
        <v>25</v>
      </c>
    </row>
    <row r="352" spans="1:17" ht="12.75">
      <c r="A352" t="s">
        <v>17</v>
      </c>
      <c r="B352" t="s">
        <v>18</v>
      </c>
      <c r="C352" t="s">
        <v>273</v>
      </c>
      <c r="D352" t="str">
        <f>CONCATENATE("0130014416","")</f>
        <v>0130014416</v>
      </c>
      <c r="E352" t="str">
        <f>CONCATENATE("0050813000025       ","")</f>
        <v>0050813000025       </v>
      </c>
      <c r="F352" t="str">
        <f>CONCATENATE("606600728","")</f>
        <v>606600728</v>
      </c>
      <c r="G352" t="s">
        <v>766</v>
      </c>
      <c r="H352" t="s">
        <v>767</v>
      </c>
      <c r="I352" t="s">
        <v>768</v>
      </c>
      <c r="J352" t="str">
        <f t="shared" si="44"/>
        <v>080508</v>
      </c>
      <c r="K352" t="s">
        <v>23</v>
      </c>
      <c r="L352" t="s">
        <v>24</v>
      </c>
      <c r="M352" t="str">
        <f t="shared" si="45"/>
        <v>1</v>
      </c>
      <c r="O352" t="str">
        <f t="shared" si="46"/>
        <v>1 </v>
      </c>
      <c r="P352">
        <v>70.45</v>
      </c>
      <c r="Q352" t="s">
        <v>25</v>
      </c>
    </row>
    <row r="353" spans="1:17" ht="12.75">
      <c r="A353" t="s">
        <v>17</v>
      </c>
      <c r="B353" t="s">
        <v>18</v>
      </c>
      <c r="C353" t="s">
        <v>273</v>
      </c>
      <c r="D353" t="str">
        <f>CONCATENATE("0130012151","")</f>
        <v>0130012151</v>
      </c>
      <c r="E353" t="str">
        <f>CONCATENATE("0050813000030       ","")</f>
        <v>0050813000030       </v>
      </c>
      <c r="F353" t="str">
        <f>CONCATENATE("1600135","")</f>
        <v>1600135</v>
      </c>
      <c r="G353" t="s">
        <v>766</v>
      </c>
      <c r="H353" t="s">
        <v>769</v>
      </c>
      <c r="I353" t="s">
        <v>770</v>
      </c>
      <c r="J353" t="str">
        <f t="shared" si="44"/>
        <v>080508</v>
      </c>
      <c r="K353" t="s">
        <v>23</v>
      </c>
      <c r="L353" t="s">
        <v>24</v>
      </c>
      <c r="M353" t="str">
        <f t="shared" si="45"/>
        <v>1</v>
      </c>
      <c r="O353" t="str">
        <f t="shared" si="46"/>
        <v>1 </v>
      </c>
      <c r="P353">
        <v>12.45</v>
      </c>
      <c r="Q353" t="s">
        <v>25</v>
      </c>
    </row>
    <row r="354" spans="1:17" ht="12.75">
      <c r="A354" t="s">
        <v>17</v>
      </c>
      <c r="B354" t="s">
        <v>18</v>
      </c>
      <c r="C354" t="s">
        <v>273</v>
      </c>
      <c r="D354" t="str">
        <f>CONCATENATE("0130015410","")</f>
        <v>0130015410</v>
      </c>
      <c r="E354" t="str">
        <f>CONCATENATE("0050813000095       ","")</f>
        <v>0050813000095       </v>
      </c>
      <c r="F354" t="str">
        <f>CONCATENATE("605281809","")</f>
        <v>605281809</v>
      </c>
      <c r="G354" t="s">
        <v>766</v>
      </c>
      <c r="H354" t="s">
        <v>771</v>
      </c>
      <c r="I354" t="s">
        <v>772</v>
      </c>
      <c r="J354" t="str">
        <f t="shared" si="44"/>
        <v>080508</v>
      </c>
      <c r="K354" t="s">
        <v>23</v>
      </c>
      <c r="L354" t="s">
        <v>24</v>
      </c>
      <c r="M354" t="str">
        <f t="shared" si="45"/>
        <v>1</v>
      </c>
      <c r="O354" t="str">
        <f t="shared" si="46"/>
        <v>1 </v>
      </c>
      <c r="P354">
        <v>15.55</v>
      </c>
      <c r="Q354" t="s">
        <v>25</v>
      </c>
    </row>
    <row r="355" spans="1:17" ht="12.75">
      <c r="A355" t="s">
        <v>17</v>
      </c>
      <c r="B355" t="s">
        <v>18</v>
      </c>
      <c r="C355" t="s">
        <v>482</v>
      </c>
      <c r="D355" t="str">
        <f>CONCATENATE("0130010214","")</f>
        <v>0130010214</v>
      </c>
      <c r="E355" t="str">
        <f>CONCATENATE("0050815000105       ","")</f>
        <v>0050815000105       </v>
      </c>
      <c r="F355" t="str">
        <f>CONCATENATE("0605771403","")</f>
        <v>0605771403</v>
      </c>
      <c r="G355" t="s">
        <v>773</v>
      </c>
      <c r="H355" t="s">
        <v>774</v>
      </c>
      <c r="I355" t="s">
        <v>775</v>
      </c>
      <c r="J355" t="str">
        <f aca="true" t="shared" si="47" ref="J355:J366">CONCATENATE("080501","")</f>
        <v>080501</v>
      </c>
      <c r="K355" t="s">
        <v>23</v>
      </c>
      <c r="L355" t="s">
        <v>24</v>
      </c>
      <c r="M355" t="str">
        <f t="shared" si="45"/>
        <v>1</v>
      </c>
      <c r="O355" t="str">
        <f t="shared" si="46"/>
        <v>1 </v>
      </c>
      <c r="P355">
        <v>10.55</v>
      </c>
      <c r="Q355" t="s">
        <v>25</v>
      </c>
    </row>
    <row r="356" spans="1:17" ht="12.75">
      <c r="A356" t="s">
        <v>17</v>
      </c>
      <c r="B356" t="s">
        <v>18</v>
      </c>
      <c r="C356" t="s">
        <v>482</v>
      </c>
      <c r="D356" t="str">
        <f>CONCATENATE("0130016877","")</f>
        <v>0130016877</v>
      </c>
      <c r="E356" t="str">
        <f>CONCATENATE("0050815000108       ","")</f>
        <v>0050815000108       </v>
      </c>
      <c r="F356" t="str">
        <f>CONCATENATE("605620188","")</f>
        <v>605620188</v>
      </c>
      <c r="G356" t="s">
        <v>773</v>
      </c>
      <c r="H356" t="s">
        <v>776</v>
      </c>
      <c r="I356" t="s">
        <v>777</v>
      </c>
      <c r="J356" t="str">
        <f t="shared" si="47"/>
        <v>080501</v>
      </c>
      <c r="K356" t="s">
        <v>23</v>
      </c>
      <c r="L356" t="s">
        <v>24</v>
      </c>
      <c r="M356" t="str">
        <f t="shared" si="45"/>
        <v>1</v>
      </c>
      <c r="O356" t="str">
        <f t="shared" si="46"/>
        <v>1 </v>
      </c>
      <c r="P356">
        <v>12.5</v>
      </c>
      <c r="Q356" t="s">
        <v>25</v>
      </c>
    </row>
    <row r="357" spans="1:17" ht="12.75">
      <c r="A357" t="s">
        <v>17</v>
      </c>
      <c r="B357" t="s">
        <v>18</v>
      </c>
      <c r="C357" t="s">
        <v>482</v>
      </c>
      <c r="D357" t="str">
        <f>CONCATENATE("0040028082","")</f>
        <v>0040028082</v>
      </c>
      <c r="E357" t="str">
        <f>CONCATENATE("0050815000171       ","")</f>
        <v>0050815000171       </v>
      </c>
      <c r="F357" t="str">
        <f>CONCATENATE("2128354","")</f>
        <v>2128354</v>
      </c>
      <c r="G357" t="s">
        <v>773</v>
      </c>
      <c r="H357" t="s">
        <v>778</v>
      </c>
      <c r="I357" t="s">
        <v>779</v>
      </c>
      <c r="J357" t="str">
        <f t="shared" si="47"/>
        <v>080501</v>
      </c>
      <c r="K357" t="s">
        <v>23</v>
      </c>
      <c r="L357" t="s">
        <v>24</v>
      </c>
      <c r="M357" t="str">
        <f t="shared" si="45"/>
        <v>1</v>
      </c>
      <c r="O357" t="str">
        <f t="shared" si="46"/>
        <v>1 </v>
      </c>
      <c r="P357">
        <v>18.55</v>
      </c>
      <c r="Q357" t="s">
        <v>25</v>
      </c>
    </row>
    <row r="358" spans="1:17" ht="12.75">
      <c r="A358" t="s">
        <v>17</v>
      </c>
      <c r="B358" t="s">
        <v>18</v>
      </c>
      <c r="C358" t="s">
        <v>482</v>
      </c>
      <c r="D358" t="str">
        <f>CONCATENATE("0130015993","")</f>
        <v>0130015993</v>
      </c>
      <c r="E358" t="str">
        <f>CONCATENATE("0050815000195       ","")</f>
        <v>0050815000195       </v>
      </c>
      <c r="F358" t="str">
        <f>CONCATENATE("605288226","")</f>
        <v>605288226</v>
      </c>
      <c r="G358" t="s">
        <v>773</v>
      </c>
      <c r="H358" t="s">
        <v>780</v>
      </c>
      <c r="I358" t="s">
        <v>781</v>
      </c>
      <c r="J358" t="str">
        <f t="shared" si="47"/>
        <v>080501</v>
      </c>
      <c r="K358" t="s">
        <v>23</v>
      </c>
      <c r="L358" t="s">
        <v>24</v>
      </c>
      <c r="M358" t="str">
        <f t="shared" si="45"/>
        <v>1</v>
      </c>
      <c r="O358" t="str">
        <f t="shared" si="46"/>
        <v>1 </v>
      </c>
      <c r="P358">
        <v>15.85</v>
      </c>
      <c r="Q358" t="s">
        <v>25</v>
      </c>
    </row>
    <row r="359" spans="1:17" ht="12.75">
      <c r="A359" t="s">
        <v>17</v>
      </c>
      <c r="B359" t="s">
        <v>18</v>
      </c>
      <c r="C359" t="s">
        <v>482</v>
      </c>
      <c r="D359" t="str">
        <f>CONCATENATE("0130008619","")</f>
        <v>0130008619</v>
      </c>
      <c r="E359" t="str">
        <f>CONCATENATE("0050815000410       ","")</f>
        <v>0050815000410       </v>
      </c>
      <c r="F359" t="str">
        <f>CONCATENATE("605120710","")</f>
        <v>605120710</v>
      </c>
      <c r="G359" t="s">
        <v>773</v>
      </c>
      <c r="H359" t="s">
        <v>782</v>
      </c>
      <c r="I359" t="s">
        <v>783</v>
      </c>
      <c r="J359" t="str">
        <f t="shared" si="47"/>
        <v>080501</v>
      </c>
      <c r="K359" t="s">
        <v>23</v>
      </c>
      <c r="L359" t="s">
        <v>24</v>
      </c>
      <c r="M359" t="str">
        <f t="shared" si="45"/>
        <v>1</v>
      </c>
      <c r="O359" t="str">
        <f t="shared" si="46"/>
        <v>1 </v>
      </c>
      <c r="P359">
        <v>10.65</v>
      </c>
      <c r="Q359" t="s">
        <v>25</v>
      </c>
    </row>
    <row r="360" spans="1:17" ht="12.75">
      <c r="A360" t="s">
        <v>17</v>
      </c>
      <c r="B360" t="s">
        <v>18</v>
      </c>
      <c r="C360" t="s">
        <v>482</v>
      </c>
      <c r="D360" t="str">
        <f>CONCATENATE("0130008621","")</f>
        <v>0130008621</v>
      </c>
      <c r="E360" t="str">
        <f>CONCATENATE("0050815000430       ","")</f>
        <v>0050815000430       </v>
      </c>
      <c r="F360" t="str">
        <f>CONCATENATE("7295942","")</f>
        <v>7295942</v>
      </c>
      <c r="G360" t="s">
        <v>773</v>
      </c>
      <c r="H360" t="s">
        <v>784</v>
      </c>
      <c r="I360" t="s">
        <v>783</v>
      </c>
      <c r="J360" t="str">
        <f t="shared" si="47"/>
        <v>080501</v>
      </c>
      <c r="K360" t="s">
        <v>23</v>
      </c>
      <c r="L360" t="s">
        <v>24</v>
      </c>
      <c r="M360" t="str">
        <f t="shared" si="45"/>
        <v>1</v>
      </c>
      <c r="O360" t="str">
        <f t="shared" si="46"/>
        <v>1 </v>
      </c>
      <c r="P360">
        <v>12.75</v>
      </c>
      <c r="Q360" t="s">
        <v>25</v>
      </c>
    </row>
    <row r="361" spans="1:17" ht="12.75">
      <c r="A361" t="s">
        <v>17</v>
      </c>
      <c r="B361" t="s">
        <v>18</v>
      </c>
      <c r="C361" t="s">
        <v>482</v>
      </c>
      <c r="D361" t="str">
        <f>CONCATENATE("0130017203","")</f>
        <v>0130017203</v>
      </c>
      <c r="E361" t="str">
        <f>CONCATENATE("0050815000518       ","")</f>
        <v>0050815000518       </v>
      </c>
      <c r="F361" t="str">
        <f>CONCATENATE("605766514","")</f>
        <v>605766514</v>
      </c>
      <c r="G361" t="s">
        <v>773</v>
      </c>
      <c r="H361" t="s">
        <v>785</v>
      </c>
      <c r="I361" t="s">
        <v>786</v>
      </c>
      <c r="J361" t="str">
        <f t="shared" si="47"/>
        <v>080501</v>
      </c>
      <c r="K361" t="s">
        <v>23</v>
      </c>
      <c r="L361" t="s">
        <v>24</v>
      </c>
      <c r="M361" t="str">
        <f t="shared" si="45"/>
        <v>1</v>
      </c>
      <c r="O361" t="str">
        <f t="shared" si="46"/>
        <v>1 </v>
      </c>
      <c r="P361">
        <v>23.3</v>
      </c>
      <c r="Q361" t="s">
        <v>25</v>
      </c>
    </row>
    <row r="362" spans="1:17" ht="12.75">
      <c r="A362" t="s">
        <v>17</v>
      </c>
      <c r="B362" t="s">
        <v>18</v>
      </c>
      <c r="C362" t="s">
        <v>482</v>
      </c>
      <c r="D362" t="str">
        <f>CONCATENATE("0040027877","")</f>
        <v>0040027877</v>
      </c>
      <c r="E362" t="str">
        <f>CONCATENATE("0050815000611       ","")</f>
        <v>0050815000611       </v>
      </c>
      <c r="F362" t="str">
        <f>CONCATENATE("2186333","")</f>
        <v>2186333</v>
      </c>
      <c r="G362" t="s">
        <v>773</v>
      </c>
      <c r="H362" t="s">
        <v>787</v>
      </c>
      <c r="I362" t="s">
        <v>788</v>
      </c>
      <c r="J362" t="str">
        <f t="shared" si="47"/>
        <v>080501</v>
      </c>
      <c r="K362" t="s">
        <v>23</v>
      </c>
      <c r="L362" t="s">
        <v>24</v>
      </c>
      <c r="M362" t="str">
        <f t="shared" si="45"/>
        <v>1</v>
      </c>
      <c r="O362" t="str">
        <f t="shared" si="46"/>
        <v>1 </v>
      </c>
      <c r="P362">
        <v>22.2</v>
      </c>
      <c r="Q362" t="s">
        <v>25</v>
      </c>
    </row>
    <row r="363" spans="1:17" ht="12.75">
      <c r="A363" t="s">
        <v>17</v>
      </c>
      <c r="B363" t="s">
        <v>18</v>
      </c>
      <c r="C363" t="s">
        <v>482</v>
      </c>
      <c r="D363" t="str">
        <f>CONCATENATE("0130016442","")</f>
        <v>0130016442</v>
      </c>
      <c r="E363" t="str">
        <f>CONCATENATE("0050815000613       ","")</f>
        <v>0050815000613       </v>
      </c>
      <c r="F363" t="str">
        <f>CONCATENATE("763731","")</f>
        <v>763731</v>
      </c>
      <c r="G363" t="s">
        <v>773</v>
      </c>
      <c r="H363" t="s">
        <v>789</v>
      </c>
      <c r="I363" t="s">
        <v>790</v>
      </c>
      <c r="J363" t="str">
        <f t="shared" si="47"/>
        <v>080501</v>
      </c>
      <c r="K363" t="s">
        <v>23</v>
      </c>
      <c r="L363" t="s">
        <v>24</v>
      </c>
      <c r="M363" t="str">
        <f t="shared" si="45"/>
        <v>1</v>
      </c>
      <c r="O363" t="str">
        <f t="shared" si="46"/>
        <v>1 </v>
      </c>
      <c r="P363">
        <v>16.15</v>
      </c>
      <c r="Q363" t="s">
        <v>25</v>
      </c>
    </row>
    <row r="364" spans="1:17" ht="12.75">
      <c r="A364" t="s">
        <v>17</v>
      </c>
      <c r="B364" t="s">
        <v>18</v>
      </c>
      <c r="C364" t="s">
        <v>482</v>
      </c>
      <c r="D364" t="str">
        <f>CONCATENATE("0130008647","")</f>
        <v>0130008647</v>
      </c>
      <c r="E364" t="str">
        <f>CONCATENATE("0050815000690       ","")</f>
        <v>0050815000690       </v>
      </c>
      <c r="F364" t="str">
        <f>CONCATENATE("7299575","")</f>
        <v>7299575</v>
      </c>
      <c r="G364" t="s">
        <v>773</v>
      </c>
      <c r="H364" t="s">
        <v>791</v>
      </c>
      <c r="I364" t="s">
        <v>783</v>
      </c>
      <c r="J364" t="str">
        <f t="shared" si="47"/>
        <v>080501</v>
      </c>
      <c r="K364" t="s">
        <v>23</v>
      </c>
      <c r="L364" t="s">
        <v>24</v>
      </c>
      <c r="M364" t="str">
        <f t="shared" si="45"/>
        <v>1</v>
      </c>
      <c r="O364" t="str">
        <f>CONCATENATE("2 ","")</f>
        <v>2 </v>
      </c>
      <c r="P364">
        <v>30.05</v>
      </c>
      <c r="Q364" t="s">
        <v>25</v>
      </c>
    </row>
    <row r="365" spans="1:17" ht="12.75">
      <c r="A365" t="s">
        <v>17</v>
      </c>
      <c r="B365" t="s">
        <v>18</v>
      </c>
      <c r="C365" t="s">
        <v>482</v>
      </c>
      <c r="D365" t="str">
        <f>CONCATENATE("0130008663","")</f>
        <v>0130008663</v>
      </c>
      <c r="E365" t="str">
        <f>CONCATENATE("0050815000850       ","")</f>
        <v>0050815000850       </v>
      </c>
      <c r="F365" t="str">
        <f>CONCATENATE("606034285","")</f>
        <v>606034285</v>
      </c>
      <c r="G365" t="s">
        <v>773</v>
      </c>
      <c r="H365" t="s">
        <v>792</v>
      </c>
      <c r="I365" t="s">
        <v>783</v>
      </c>
      <c r="J365" t="str">
        <f t="shared" si="47"/>
        <v>080501</v>
      </c>
      <c r="K365" t="s">
        <v>23</v>
      </c>
      <c r="L365" t="s">
        <v>24</v>
      </c>
      <c r="M365" t="str">
        <f t="shared" si="45"/>
        <v>1</v>
      </c>
      <c r="O365" t="str">
        <f aca="true" t="shared" si="48" ref="O365:O385">CONCATENATE("1 ","")</f>
        <v>1 </v>
      </c>
      <c r="P365">
        <v>22.1</v>
      </c>
      <c r="Q365" t="s">
        <v>25</v>
      </c>
    </row>
    <row r="366" spans="1:17" ht="12.75">
      <c r="A366" t="s">
        <v>17</v>
      </c>
      <c r="B366" t="s">
        <v>18</v>
      </c>
      <c r="C366" t="s">
        <v>482</v>
      </c>
      <c r="D366" t="str">
        <f>CONCATENATE("0130016411","")</f>
        <v>0130016411</v>
      </c>
      <c r="E366" t="str">
        <f>CONCATENATE("0050815000885       ","")</f>
        <v>0050815000885       </v>
      </c>
      <c r="F366" t="str">
        <f>CONCATENATE("763749","")</f>
        <v>763749</v>
      </c>
      <c r="G366" t="s">
        <v>773</v>
      </c>
      <c r="H366" t="s">
        <v>793</v>
      </c>
      <c r="I366" t="s">
        <v>794</v>
      </c>
      <c r="J366" t="str">
        <f t="shared" si="47"/>
        <v>080501</v>
      </c>
      <c r="K366" t="s">
        <v>23</v>
      </c>
      <c r="L366" t="s">
        <v>24</v>
      </c>
      <c r="M366" t="str">
        <f t="shared" si="45"/>
        <v>1</v>
      </c>
      <c r="O366" t="str">
        <f t="shared" si="48"/>
        <v>1 </v>
      </c>
      <c r="P366">
        <v>22.9</v>
      </c>
      <c r="Q366" t="s">
        <v>25</v>
      </c>
    </row>
    <row r="367" spans="1:17" ht="12.75">
      <c r="A367" t="s">
        <v>17</v>
      </c>
      <c r="B367" t="s">
        <v>18</v>
      </c>
      <c r="C367" t="s">
        <v>795</v>
      </c>
      <c r="D367" t="str">
        <f>CONCATENATE("0130013219","")</f>
        <v>0130013219</v>
      </c>
      <c r="E367" t="str">
        <f>CONCATENATE("0050830000120       ","")</f>
        <v>0050830000120       </v>
      </c>
      <c r="F367" t="str">
        <f>CONCATENATE("00503003810","")</f>
        <v>00503003810</v>
      </c>
      <c r="G367" t="s">
        <v>773</v>
      </c>
      <c r="H367" t="s">
        <v>796</v>
      </c>
      <c r="I367" t="s">
        <v>797</v>
      </c>
      <c r="J367" t="str">
        <f>CONCATENATE("080603","")</f>
        <v>080603</v>
      </c>
      <c r="K367" t="s">
        <v>23</v>
      </c>
      <c r="L367" t="s">
        <v>24</v>
      </c>
      <c r="M367" t="str">
        <f t="shared" si="45"/>
        <v>1</v>
      </c>
      <c r="O367" t="str">
        <f t="shared" si="48"/>
        <v>1 </v>
      </c>
      <c r="P367">
        <v>37.9</v>
      </c>
      <c r="Q367" t="s">
        <v>25</v>
      </c>
    </row>
    <row r="368" spans="1:17" ht="12.75">
      <c r="A368" t="s">
        <v>17</v>
      </c>
      <c r="B368" t="s">
        <v>18</v>
      </c>
      <c r="C368" t="s">
        <v>482</v>
      </c>
      <c r="D368" t="str">
        <f>CONCATENATE("0130021467","")</f>
        <v>0130021467</v>
      </c>
      <c r="E368" t="str">
        <f>CONCATENATE("0050834001041       ","")</f>
        <v>0050834001041       </v>
      </c>
      <c r="F368" t="str">
        <f>CONCATENATE("606036490","")</f>
        <v>606036490</v>
      </c>
      <c r="G368" t="s">
        <v>798</v>
      </c>
      <c r="H368" t="s">
        <v>799</v>
      </c>
      <c r="I368" t="s">
        <v>800</v>
      </c>
      <c r="J368" t="str">
        <f>CONCATENATE("080501","")</f>
        <v>080501</v>
      </c>
      <c r="K368" t="s">
        <v>23</v>
      </c>
      <c r="L368" t="s">
        <v>24</v>
      </c>
      <c r="M368" t="str">
        <f t="shared" si="45"/>
        <v>1</v>
      </c>
      <c r="O368" t="str">
        <f t="shared" si="48"/>
        <v>1 </v>
      </c>
      <c r="P368">
        <v>10.55</v>
      </c>
      <c r="Q368" t="s">
        <v>25</v>
      </c>
    </row>
    <row r="369" spans="1:17" ht="12.75">
      <c r="A369" t="s">
        <v>17</v>
      </c>
      <c r="B369" t="s">
        <v>18</v>
      </c>
      <c r="C369" t="s">
        <v>795</v>
      </c>
      <c r="D369" t="str">
        <f>CONCATENATE("0130002724","")</f>
        <v>0130002724</v>
      </c>
      <c r="E369" t="str">
        <f>CONCATENATE("0060201000005       ","")</f>
        <v>0060201000005       </v>
      </c>
      <c r="F369" t="str">
        <f>CONCATENATE("111177","")</f>
        <v>111177</v>
      </c>
      <c r="G369" t="s">
        <v>801</v>
      </c>
      <c r="H369" t="s">
        <v>802</v>
      </c>
      <c r="I369" t="s">
        <v>803</v>
      </c>
      <c r="J369" t="str">
        <f aca="true" t="shared" si="49" ref="J369:J399">CONCATENATE("080603","")</f>
        <v>080603</v>
      </c>
      <c r="K369" t="s">
        <v>23</v>
      </c>
      <c r="L369" t="s">
        <v>24</v>
      </c>
      <c r="M369" t="str">
        <f>CONCATENATE("3","")</f>
        <v>3</v>
      </c>
      <c r="O369" t="str">
        <f t="shared" si="48"/>
        <v>1 </v>
      </c>
      <c r="P369">
        <v>864.85</v>
      </c>
      <c r="Q369" t="s">
        <v>25</v>
      </c>
    </row>
    <row r="370" spans="1:17" ht="12.75">
      <c r="A370" t="s">
        <v>17</v>
      </c>
      <c r="B370" t="s">
        <v>18</v>
      </c>
      <c r="C370" t="s">
        <v>795</v>
      </c>
      <c r="D370" t="str">
        <f>CONCATENATE("0130013577","")</f>
        <v>0130013577</v>
      </c>
      <c r="E370" t="str">
        <f>CONCATENATE("0060201000015       ","")</f>
        <v>0060201000015       </v>
      </c>
      <c r="F370" t="str">
        <f>CONCATENATE("606665468","")</f>
        <v>606665468</v>
      </c>
      <c r="G370" t="s">
        <v>801</v>
      </c>
      <c r="H370" t="s">
        <v>804</v>
      </c>
      <c r="I370" t="s">
        <v>805</v>
      </c>
      <c r="J370" t="str">
        <f t="shared" si="49"/>
        <v>080603</v>
      </c>
      <c r="K370" t="s">
        <v>23</v>
      </c>
      <c r="L370" t="s">
        <v>24</v>
      </c>
      <c r="M370" t="str">
        <f>CONCATENATE("1","")</f>
        <v>1</v>
      </c>
      <c r="O370" t="str">
        <f t="shared" si="48"/>
        <v>1 </v>
      </c>
      <c r="P370">
        <v>19.25</v>
      </c>
      <c r="Q370" t="s">
        <v>25</v>
      </c>
    </row>
    <row r="371" spans="1:17" ht="12.75">
      <c r="A371" t="s">
        <v>17</v>
      </c>
      <c r="B371" t="s">
        <v>18</v>
      </c>
      <c r="C371" t="s">
        <v>795</v>
      </c>
      <c r="D371" t="str">
        <f>CONCATENATE("0040031598","")</f>
        <v>0040031598</v>
      </c>
      <c r="E371" t="str">
        <f>CONCATENATE("0060201000160       ","")</f>
        <v>0060201000160       </v>
      </c>
      <c r="F371" t="str">
        <f>CONCATENATE("0605564838","")</f>
        <v>0605564838</v>
      </c>
      <c r="G371" t="s">
        <v>806</v>
      </c>
      <c r="H371" t="s">
        <v>807</v>
      </c>
      <c r="I371" t="s">
        <v>808</v>
      </c>
      <c r="J371" t="str">
        <f t="shared" si="49"/>
        <v>080603</v>
      </c>
      <c r="K371" t="s">
        <v>23</v>
      </c>
      <c r="L371" t="s">
        <v>24</v>
      </c>
      <c r="M371" t="str">
        <f>CONCATENATE("1","")</f>
        <v>1</v>
      </c>
      <c r="O371" t="str">
        <f t="shared" si="48"/>
        <v>1 </v>
      </c>
      <c r="P371">
        <v>86.55</v>
      </c>
      <c r="Q371" t="s">
        <v>25</v>
      </c>
    </row>
    <row r="372" spans="1:17" ht="12.75">
      <c r="A372" t="s">
        <v>17</v>
      </c>
      <c r="B372" t="s">
        <v>18</v>
      </c>
      <c r="C372" t="s">
        <v>795</v>
      </c>
      <c r="D372" t="str">
        <f>CONCATENATE("0130011487","")</f>
        <v>0130011487</v>
      </c>
      <c r="E372" t="str">
        <f>CONCATENATE("0060201000185       ","")</f>
        <v>0060201000185       </v>
      </c>
      <c r="F372" t="str">
        <f>CONCATENATE("507030500","")</f>
        <v>507030500</v>
      </c>
      <c r="G372" t="s">
        <v>806</v>
      </c>
      <c r="H372" t="s">
        <v>809</v>
      </c>
      <c r="I372" t="s">
        <v>810</v>
      </c>
      <c r="J372" t="str">
        <f t="shared" si="49"/>
        <v>080603</v>
      </c>
      <c r="K372" t="s">
        <v>23</v>
      </c>
      <c r="L372" t="s">
        <v>24</v>
      </c>
      <c r="M372" t="str">
        <f>CONCATENATE("3","")</f>
        <v>3</v>
      </c>
      <c r="O372" t="str">
        <f t="shared" si="48"/>
        <v>1 </v>
      </c>
      <c r="P372">
        <v>634.15</v>
      </c>
      <c r="Q372" t="s">
        <v>124</v>
      </c>
    </row>
    <row r="373" spans="1:17" ht="12.75">
      <c r="A373" t="s">
        <v>17</v>
      </c>
      <c r="B373" t="s">
        <v>18</v>
      </c>
      <c r="C373" t="s">
        <v>795</v>
      </c>
      <c r="D373" t="str">
        <f>CONCATENATE("0130002780","")</f>
        <v>0130002780</v>
      </c>
      <c r="E373" t="str">
        <f>CONCATENATE("0060201003180       ","")</f>
        <v>0060201003180       </v>
      </c>
      <c r="F373" t="str">
        <f>CONCATENATE("110122","")</f>
        <v>110122</v>
      </c>
      <c r="G373" t="s">
        <v>806</v>
      </c>
      <c r="H373" t="s">
        <v>811</v>
      </c>
      <c r="I373" t="s">
        <v>812</v>
      </c>
      <c r="J373" t="str">
        <f t="shared" si="49"/>
        <v>080603</v>
      </c>
      <c r="K373" t="s">
        <v>23</v>
      </c>
      <c r="L373" t="s">
        <v>24</v>
      </c>
      <c r="M373" t="str">
        <f>CONCATENATE("3","")</f>
        <v>3</v>
      </c>
      <c r="O373" t="str">
        <f t="shared" si="48"/>
        <v>1 </v>
      </c>
      <c r="P373">
        <v>584.75</v>
      </c>
      <c r="Q373" t="s">
        <v>25</v>
      </c>
    </row>
    <row r="374" spans="1:17" ht="12.75">
      <c r="A374" t="s">
        <v>17</v>
      </c>
      <c r="B374" t="s">
        <v>18</v>
      </c>
      <c r="C374" t="s">
        <v>795</v>
      </c>
      <c r="D374" t="str">
        <f>CONCATENATE("0130021611","")</f>
        <v>0130021611</v>
      </c>
      <c r="E374" t="str">
        <f>CONCATENATE("0060202000047       ","")</f>
        <v>0060202000047       </v>
      </c>
      <c r="F374" t="str">
        <f>CONCATENATE("507008789","")</f>
        <v>507008789</v>
      </c>
      <c r="G374" t="s">
        <v>806</v>
      </c>
      <c r="H374" t="s">
        <v>813</v>
      </c>
      <c r="I374" t="s">
        <v>814</v>
      </c>
      <c r="J374" t="str">
        <f t="shared" si="49"/>
        <v>080603</v>
      </c>
      <c r="K374" t="s">
        <v>23</v>
      </c>
      <c r="L374" t="s">
        <v>24</v>
      </c>
      <c r="M374" t="str">
        <f>CONCATENATE("3","")</f>
        <v>3</v>
      </c>
      <c r="O374" t="str">
        <f t="shared" si="48"/>
        <v>1 </v>
      </c>
      <c r="P374">
        <v>226.9</v>
      </c>
      <c r="Q374" t="s">
        <v>124</v>
      </c>
    </row>
    <row r="375" spans="1:17" ht="12.75">
      <c r="A375" t="s">
        <v>17</v>
      </c>
      <c r="B375" t="s">
        <v>18</v>
      </c>
      <c r="C375" t="s">
        <v>795</v>
      </c>
      <c r="D375" t="str">
        <f>CONCATENATE("0130016088","")</f>
        <v>0130016088</v>
      </c>
      <c r="E375" t="str">
        <f>CONCATENATE("0060202000230       ","")</f>
        <v>0060202000230       </v>
      </c>
      <c r="F375" t="str">
        <f>CONCATENATE("605285870","")</f>
        <v>605285870</v>
      </c>
      <c r="G375" t="s">
        <v>806</v>
      </c>
      <c r="H375" t="s">
        <v>815</v>
      </c>
      <c r="I375" t="s">
        <v>816</v>
      </c>
      <c r="J375" t="str">
        <f t="shared" si="49"/>
        <v>080603</v>
      </c>
      <c r="K375" t="s">
        <v>23</v>
      </c>
      <c r="L375" t="s">
        <v>24</v>
      </c>
      <c r="M375" t="str">
        <f aca="true" t="shared" si="50" ref="M375:M389">CONCATENATE("1","")</f>
        <v>1</v>
      </c>
      <c r="O375" t="str">
        <f t="shared" si="48"/>
        <v>1 </v>
      </c>
      <c r="P375">
        <v>14.4</v>
      </c>
      <c r="Q375" t="s">
        <v>25</v>
      </c>
    </row>
    <row r="376" spans="1:17" ht="12.75">
      <c r="A376" t="s">
        <v>17</v>
      </c>
      <c r="B376" t="s">
        <v>18</v>
      </c>
      <c r="C376" t="s">
        <v>795</v>
      </c>
      <c r="D376" t="str">
        <f>CONCATENATE("0130016110","")</f>
        <v>0130016110</v>
      </c>
      <c r="E376" t="str">
        <f>CONCATENATE("0060202000933       ","")</f>
        <v>0060202000933       </v>
      </c>
      <c r="F376" t="str">
        <f>CONCATENATE("605287938","")</f>
        <v>605287938</v>
      </c>
      <c r="G376" t="s">
        <v>801</v>
      </c>
      <c r="H376" t="s">
        <v>817</v>
      </c>
      <c r="I376" t="s">
        <v>818</v>
      </c>
      <c r="J376" t="str">
        <f t="shared" si="49"/>
        <v>080603</v>
      </c>
      <c r="K376" t="s">
        <v>23</v>
      </c>
      <c r="L376" t="s">
        <v>24</v>
      </c>
      <c r="M376" t="str">
        <f t="shared" si="50"/>
        <v>1</v>
      </c>
      <c r="O376" t="str">
        <f t="shared" si="48"/>
        <v>1 </v>
      </c>
      <c r="P376">
        <v>115.2</v>
      </c>
      <c r="Q376" t="s">
        <v>25</v>
      </c>
    </row>
    <row r="377" spans="1:17" ht="12.75">
      <c r="A377" t="s">
        <v>17</v>
      </c>
      <c r="B377" t="s">
        <v>18</v>
      </c>
      <c r="C377" t="s">
        <v>795</v>
      </c>
      <c r="D377" t="str">
        <f>CONCATENATE("0130002888","")</f>
        <v>0130002888</v>
      </c>
      <c r="E377" t="str">
        <f>CONCATENATE("0060202001173       ","")</f>
        <v>0060202001173       </v>
      </c>
      <c r="F377" t="str">
        <f>CONCATENATE("605391947","")</f>
        <v>605391947</v>
      </c>
      <c r="G377" t="s">
        <v>806</v>
      </c>
      <c r="H377" t="s">
        <v>819</v>
      </c>
      <c r="I377" t="str">
        <f>CONCATENATE("27-DE-NOVIEMBRE--S-N","")</f>
        <v>27-DE-NOVIEMBRE--S-N</v>
      </c>
      <c r="J377" t="str">
        <f t="shared" si="49"/>
        <v>080603</v>
      </c>
      <c r="K377" t="s">
        <v>23</v>
      </c>
      <c r="L377" t="s">
        <v>24</v>
      </c>
      <c r="M377" t="str">
        <f t="shared" si="50"/>
        <v>1</v>
      </c>
      <c r="O377" t="str">
        <f t="shared" si="48"/>
        <v>1 </v>
      </c>
      <c r="P377">
        <v>11.75</v>
      </c>
      <c r="Q377" t="s">
        <v>25</v>
      </c>
    </row>
    <row r="378" spans="1:17" ht="12.75">
      <c r="A378" t="s">
        <v>17</v>
      </c>
      <c r="B378" t="s">
        <v>18</v>
      </c>
      <c r="C378" t="s">
        <v>795</v>
      </c>
      <c r="D378" t="str">
        <f>CONCATENATE("0130002915","")</f>
        <v>0130002915</v>
      </c>
      <c r="E378" t="str">
        <f>CONCATENATE("0060202001455       ","")</f>
        <v>0060202001455       </v>
      </c>
      <c r="F378" t="str">
        <f>CONCATENATE("605231868","")</f>
        <v>605231868</v>
      </c>
      <c r="G378" t="s">
        <v>801</v>
      </c>
      <c r="H378" t="s">
        <v>820</v>
      </c>
      <c r="I378" t="s">
        <v>821</v>
      </c>
      <c r="J378" t="str">
        <f t="shared" si="49"/>
        <v>080603</v>
      </c>
      <c r="K378" t="s">
        <v>23</v>
      </c>
      <c r="L378" t="s">
        <v>24</v>
      </c>
      <c r="M378" t="str">
        <f t="shared" si="50"/>
        <v>1</v>
      </c>
      <c r="O378" t="str">
        <f t="shared" si="48"/>
        <v>1 </v>
      </c>
      <c r="P378">
        <v>11.45</v>
      </c>
      <c r="Q378" t="s">
        <v>25</v>
      </c>
    </row>
    <row r="379" spans="1:17" ht="12.75">
      <c r="A379" t="s">
        <v>17</v>
      </c>
      <c r="B379" t="s">
        <v>18</v>
      </c>
      <c r="C379" t="s">
        <v>795</v>
      </c>
      <c r="D379" t="str">
        <f>CONCATENATE("0130002918","")</f>
        <v>0130002918</v>
      </c>
      <c r="E379" t="str">
        <f>CONCATENATE("0060202001485       ","")</f>
        <v>0060202001485       </v>
      </c>
      <c r="F379" t="str">
        <f>CONCATENATE("605120667","")</f>
        <v>605120667</v>
      </c>
      <c r="G379" t="s">
        <v>801</v>
      </c>
      <c r="H379" t="s">
        <v>822</v>
      </c>
      <c r="I379" t="s">
        <v>821</v>
      </c>
      <c r="J379" t="str">
        <f t="shared" si="49"/>
        <v>080603</v>
      </c>
      <c r="K379" t="s">
        <v>23</v>
      </c>
      <c r="L379" t="s">
        <v>24</v>
      </c>
      <c r="M379" t="str">
        <f t="shared" si="50"/>
        <v>1</v>
      </c>
      <c r="O379" t="str">
        <f t="shared" si="48"/>
        <v>1 </v>
      </c>
      <c r="P379">
        <v>14.3</v>
      </c>
      <c r="Q379" t="s">
        <v>25</v>
      </c>
    </row>
    <row r="380" spans="1:17" ht="12.75">
      <c r="A380" t="s">
        <v>17</v>
      </c>
      <c r="B380" t="s">
        <v>18</v>
      </c>
      <c r="C380" t="s">
        <v>795</v>
      </c>
      <c r="D380" t="str">
        <f>CONCATENATE("0130007265","")</f>
        <v>0130007265</v>
      </c>
      <c r="E380" t="str">
        <f>CONCATENATE("0060215000200       ","")</f>
        <v>0060215000200       </v>
      </c>
      <c r="F380" t="str">
        <f>CONCATENATE("606799100","")</f>
        <v>606799100</v>
      </c>
      <c r="G380" t="s">
        <v>823</v>
      </c>
      <c r="H380" t="s">
        <v>824</v>
      </c>
      <c r="I380" t="s">
        <v>825</v>
      </c>
      <c r="J380" t="str">
        <f t="shared" si="49"/>
        <v>080603</v>
      </c>
      <c r="K380" t="s">
        <v>23</v>
      </c>
      <c r="L380" t="s">
        <v>24</v>
      </c>
      <c r="M380" t="str">
        <f t="shared" si="50"/>
        <v>1</v>
      </c>
      <c r="O380" t="str">
        <f t="shared" si="48"/>
        <v>1 </v>
      </c>
      <c r="P380">
        <v>11.9</v>
      </c>
      <c r="Q380" t="s">
        <v>25</v>
      </c>
    </row>
    <row r="381" spans="1:17" ht="12.75">
      <c r="A381" t="s">
        <v>17</v>
      </c>
      <c r="B381" t="s">
        <v>18</v>
      </c>
      <c r="C381" t="s">
        <v>795</v>
      </c>
      <c r="D381" t="str">
        <f>CONCATENATE("0130012342","")</f>
        <v>0130012342</v>
      </c>
      <c r="E381" t="str">
        <f>CONCATENATE("0060217000060       ","")</f>
        <v>0060217000060       </v>
      </c>
      <c r="F381" t="str">
        <f>CONCATENATE("00000291927","")</f>
        <v>00000291927</v>
      </c>
      <c r="G381" t="s">
        <v>826</v>
      </c>
      <c r="H381" t="s">
        <v>827</v>
      </c>
      <c r="I381" t="s">
        <v>828</v>
      </c>
      <c r="J381" t="str">
        <f t="shared" si="49"/>
        <v>080603</v>
      </c>
      <c r="K381" t="s">
        <v>23</v>
      </c>
      <c r="L381" t="s">
        <v>24</v>
      </c>
      <c r="M381" t="str">
        <f t="shared" si="50"/>
        <v>1</v>
      </c>
      <c r="O381" t="str">
        <f t="shared" si="48"/>
        <v>1 </v>
      </c>
      <c r="P381">
        <v>19.25</v>
      </c>
      <c r="Q381" t="s">
        <v>25</v>
      </c>
    </row>
    <row r="382" spans="1:17" ht="12.75">
      <c r="A382" t="s">
        <v>17</v>
      </c>
      <c r="B382" t="s">
        <v>18</v>
      </c>
      <c r="C382" t="s">
        <v>795</v>
      </c>
      <c r="D382" t="str">
        <f>CONCATENATE("0130011643","")</f>
        <v>0130011643</v>
      </c>
      <c r="E382" t="str">
        <f>CONCATENATE("0060218000660       ","")</f>
        <v>0060218000660       </v>
      </c>
      <c r="F382" t="str">
        <f>CONCATENATE("605939351","")</f>
        <v>605939351</v>
      </c>
      <c r="G382" t="s">
        <v>829</v>
      </c>
      <c r="H382" t="s">
        <v>830</v>
      </c>
      <c r="I382" t="s">
        <v>831</v>
      </c>
      <c r="J382" t="str">
        <f t="shared" si="49"/>
        <v>080603</v>
      </c>
      <c r="K382" t="s">
        <v>23</v>
      </c>
      <c r="L382" t="s">
        <v>24</v>
      </c>
      <c r="M382" t="str">
        <f t="shared" si="50"/>
        <v>1</v>
      </c>
      <c r="O382" t="str">
        <f t="shared" si="48"/>
        <v>1 </v>
      </c>
      <c r="P382">
        <v>11.7</v>
      </c>
      <c r="Q382" t="s">
        <v>25</v>
      </c>
    </row>
    <row r="383" spans="1:17" ht="12.75">
      <c r="A383" t="s">
        <v>17</v>
      </c>
      <c r="B383" t="s">
        <v>18</v>
      </c>
      <c r="C383" t="s">
        <v>795</v>
      </c>
      <c r="D383" t="str">
        <f>CONCATENATE("0130003044","")</f>
        <v>0130003044</v>
      </c>
      <c r="E383" t="str">
        <f>CONCATENATE("0060220000590       ","")</f>
        <v>0060220000590       </v>
      </c>
      <c r="F383" t="str">
        <f>CONCATENATE("605282869","")</f>
        <v>605282869</v>
      </c>
      <c r="G383" t="s">
        <v>832</v>
      </c>
      <c r="H383" t="s">
        <v>833</v>
      </c>
      <c r="I383" t="s">
        <v>834</v>
      </c>
      <c r="J383" t="str">
        <f t="shared" si="49"/>
        <v>080603</v>
      </c>
      <c r="K383" t="s">
        <v>23</v>
      </c>
      <c r="L383" t="s">
        <v>24</v>
      </c>
      <c r="M383" t="str">
        <f t="shared" si="50"/>
        <v>1</v>
      </c>
      <c r="O383" t="str">
        <f t="shared" si="48"/>
        <v>1 </v>
      </c>
      <c r="P383">
        <v>17.15</v>
      </c>
      <c r="Q383" t="s">
        <v>25</v>
      </c>
    </row>
    <row r="384" spans="1:17" ht="12.75">
      <c r="A384" t="s">
        <v>17</v>
      </c>
      <c r="B384" t="s">
        <v>18</v>
      </c>
      <c r="C384" t="s">
        <v>795</v>
      </c>
      <c r="D384" t="str">
        <f>CONCATENATE("0130003054","")</f>
        <v>0130003054</v>
      </c>
      <c r="E384" t="str">
        <f>CONCATENATE("0060221000030       ","")</f>
        <v>0060221000030       </v>
      </c>
      <c r="F384" t="str">
        <f>CONCATENATE("605349939","")</f>
        <v>605349939</v>
      </c>
      <c r="G384" t="s">
        <v>835</v>
      </c>
      <c r="H384" t="s">
        <v>836</v>
      </c>
      <c r="I384" t="s">
        <v>837</v>
      </c>
      <c r="J384" t="str">
        <f t="shared" si="49"/>
        <v>080603</v>
      </c>
      <c r="K384" t="s">
        <v>23</v>
      </c>
      <c r="L384" t="s">
        <v>24</v>
      </c>
      <c r="M384" t="str">
        <f t="shared" si="50"/>
        <v>1</v>
      </c>
      <c r="O384" t="str">
        <f t="shared" si="48"/>
        <v>1 </v>
      </c>
      <c r="P384">
        <v>38.15</v>
      </c>
      <c r="Q384" t="s">
        <v>25</v>
      </c>
    </row>
    <row r="385" spans="1:17" ht="12.75">
      <c r="A385" t="s">
        <v>17</v>
      </c>
      <c r="B385" t="s">
        <v>18</v>
      </c>
      <c r="C385" t="s">
        <v>795</v>
      </c>
      <c r="D385" t="str">
        <f>CONCATENATE("0130009829","")</f>
        <v>0130009829</v>
      </c>
      <c r="E385" t="str">
        <f>CONCATENATE("0060221000032       ","")</f>
        <v>0060221000032       </v>
      </c>
      <c r="F385" t="str">
        <f>CONCATENATE("605554850","")</f>
        <v>605554850</v>
      </c>
      <c r="G385" t="s">
        <v>835</v>
      </c>
      <c r="H385" t="s">
        <v>838</v>
      </c>
      <c r="I385" t="s">
        <v>839</v>
      </c>
      <c r="J385" t="str">
        <f t="shared" si="49"/>
        <v>080603</v>
      </c>
      <c r="K385" t="s">
        <v>23</v>
      </c>
      <c r="L385" t="s">
        <v>24</v>
      </c>
      <c r="M385" t="str">
        <f t="shared" si="50"/>
        <v>1</v>
      </c>
      <c r="O385" t="str">
        <f t="shared" si="48"/>
        <v>1 </v>
      </c>
      <c r="P385">
        <v>10.85</v>
      </c>
      <c r="Q385" t="s">
        <v>25</v>
      </c>
    </row>
    <row r="386" spans="1:17" ht="12.75">
      <c r="A386" t="s">
        <v>17</v>
      </c>
      <c r="B386" t="s">
        <v>18</v>
      </c>
      <c r="C386" t="s">
        <v>795</v>
      </c>
      <c r="D386" t="str">
        <f>CONCATENATE("0130003076","")</f>
        <v>0130003076</v>
      </c>
      <c r="E386" t="str">
        <f>CONCATENATE("0060221000430       ","")</f>
        <v>0060221000430       </v>
      </c>
      <c r="F386" t="str">
        <f>CONCATENATE("6855898","")</f>
        <v>6855898</v>
      </c>
      <c r="G386" t="s">
        <v>835</v>
      </c>
      <c r="H386" t="s">
        <v>840</v>
      </c>
      <c r="I386" t="s">
        <v>841</v>
      </c>
      <c r="J386" t="str">
        <f t="shared" si="49"/>
        <v>080603</v>
      </c>
      <c r="K386" t="s">
        <v>23</v>
      </c>
      <c r="L386" t="s">
        <v>24</v>
      </c>
      <c r="M386" t="str">
        <f t="shared" si="50"/>
        <v>1</v>
      </c>
      <c r="O386" t="str">
        <f>CONCATENATE("6 ","")</f>
        <v>6 </v>
      </c>
      <c r="P386">
        <v>41.85</v>
      </c>
      <c r="Q386" t="s">
        <v>25</v>
      </c>
    </row>
    <row r="387" spans="1:17" ht="12.75">
      <c r="A387" t="s">
        <v>17</v>
      </c>
      <c r="B387" t="s">
        <v>18</v>
      </c>
      <c r="C387" t="s">
        <v>795</v>
      </c>
      <c r="D387" t="str">
        <f>CONCATENATE("0130007263","")</f>
        <v>0130007263</v>
      </c>
      <c r="E387" t="str">
        <f>CONCATENATE("0060222000351       ","")</f>
        <v>0060222000351       </v>
      </c>
      <c r="F387" t="str">
        <f>CONCATENATE("605348196","")</f>
        <v>605348196</v>
      </c>
      <c r="G387" t="s">
        <v>842</v>
      </c>
      <c r="H387" t="s">
        <v>843</v>
      </c>
      <c r="I387" t="s">
        <v>844</v>
      </c>
      <c r="J387" t="str">
        <f t="shared" si="49"/>
        <v>080603</v>
      </c>
      <c r="K387" t="s">
        <v>23</v>
      </c>
      <c r="L387" t="s">
        <v>24</v>
      </c>
      <c r="M387" t="str">
        <f t="shared" si="50"/>
        <v>1</v>
      </c>
      <c r="O387" t="str">
        <f aca="true" t="shared" si="51" ref="O387:O418">CONCATENATE("1 ","")</f>
        <v>1 </v>
      </c>
      <c r="P387">
        <v>10.85</v>
      </c>
      <c r="Q387" t="s">
        <v>25</v>
      </c>
    </row>
    <row r="388" spans="1:17" ht="12.75">
      <c r="A388" t="s">
        <v>17</v>
      </c>
      <c r="B388" t="s">
        <v>18</v>
      </c>
      <c r="C388" t="s">
        <v>795</v>
      </c>
      <c r="D388" t="str">
        <f>CONCATENATE("0130007708","")</f>
        <v>0130007708</v>
      </c>
      <c r="E388" t="str">
        <f>CONCATENATE("0060222000370       ","")</f>
        <v>0060222000370       </v>
      </c>
      <c r="F388" t="str">
        <f>CONCATENATE("606668415","")</f>
        <v>606668415</v>
      </c>
      <c r="G388" t="s">
        <v>842</v>
      </c>
      <c r="H388" t="s">
        <v>845</v>
      </c>
      <c r="I388" t="s">
        <v>846</v>
      </c>
      <c r="J388" t="str">
        <f t="shared" si="49"/>
        <v>080603</v>
      </c>
      <c r="K388" t="s">
        <v>23</v>
      </c>
      <c r="L388" t="s">
        <v>24</v>
      </c>
      <c r="M388" t="str">
        <f t="shared" si="50"/>
        <v>1</v>
      </c>
      <c r="O388" t="str">
        <f t="shared" si="51"/>
        <v>1 </v>
      </c>
      <c r="P388">
        <v>10.85</v>
      </c>
      <c r="Q388" t="s">
        <v>25</v>
      </c>
    </row>
    <row r="389" spans="1:17" ht="12.75">
      <c r="A389" t="s">
        <v>17</v>
      </c>
      <c r="B389" t="s">
        <v>18</v>
      </c>
      <c r="C389" t="s">
        <v>795</v>
      </c>
      <c r="D389" t="str">
        <f>CONCATENATE("0130008956","")</f>
        <v>0130008956</v>
      </c>
      <c r="E389" t="str">
        <f>CONCATENATE("0060223000005       ","")</f>
        <v>0060223000005       </v>
      </c>
      <c r="F389" t="str">
        <f>CONCATENATE("605399159","")</f>
        <v>605399159</v>
      </c>
      <c r="G389" t="s">
        <v>847</v>
      </c>
      <c r="H389" t="s">
        <v>848</v>
      </c>
      <c r="I389" t="s">
        <v>849</v>
      </c>
      <c r="J389" t="str">
        <f t="shared" si="49"/>
        <v>080603</v>
      </c>
      <c r="K389" t="s">
        <v>23</v>
      </c>
      <c r="L389" t="s">
        <v>24</v>
      </c>
      <c r="M389" t="str">
        <f t="shared" si="50"/>
        <v>1</v>
      </c>
      <c r="O389" t="str">
        <f t="shared" si="51"/>
        <v>1 </v>
      </c>
      <c r="P389">
        <v>77.35</v>
      </c>
      <c r="Q389" t="s">
        <v>25</v>
      </c>
    </row>
    <row r="390" spans="1:17" ht="12.75">
      <c r="A390" t="s">
        <v>17</v>
      </c>
      <c r="B390" t="s">
        <v>18</v>
      </c>
      <c r="C390" t="s">
        <v>795</v>
      </c>
      <c r="D390" t="str">
        <f>CONCATENATE("0130009888","")</f>
        <v>0130009888</v>
      </c>
      <c r="E390" t="str">
        <f>CONCATENATE("0060225000031       ","")</f>
        <v>0060225000031       </v>
      </c>
      <c r="F390" t="str">
        <f>CONCATENATE("00582294","")</f>
        <v>00582294</v>
      </c>
      <c r="G390" t="s">
        <v>850</v>
      </c>
      <c r="H390" t="s">
        <v>851</v>
      </c>
      <c r="I390" t="s">
        <v>852</v>
      </c>
      <c r="J390" t="str">
        <f t="shared" si="49"/>
        <v>080603</v>
      </c>
      <c r="K390" t="s">
        <v>23</v>
      </c>
      <c r="L390" t="s">
        <v>24</v>
      </c>
      <c r="M390" t="str">
        <f>CONCATENATE("3","")</f>
        <v>3</v>
      </c>
      <c r="O390" t="str">
        <f t="shared" si="51"/>
        <v>1 </v>
      </c>
      <c r="P390">
        <v>65.05</v>
      </c>
      <c r="Q390" t="s">
        <v>124</v>
      </c>
    </row>
    <row r="391" spans="1:17" ht="12.75">
      <c r="A391" t="s">
        <v>17</v>
      </c>
      <c r="B391" t="s">
        <v>18</v>
      </c>
      <c r="C391" t="s">
        <v>795</v>
      </c>
      <c r="D391" t="str">
        <f>CONCATENATE("0130016842","")</f>
        <v>0130016842</v>
      </c>
      <c r="E391" t="str">
        <f>CONCATENATE("0060225000034       ","")</f>
        <v>0060225000034       </v>
      </c>
      <c r="F391" t="str">
        <f>CONCATENATE("605626966","")</f>
        <v>605626966</v>
      </c>
      <c r="G391" t="s">
        <v>850</v>
      </c>
      <c r="H391" t="s">
        <v>853</v>
      </c>
      <c r="I391" t="s">
        <v>854</v>
      </c>
      <c r="J391" t="str">
        <f t="shared" si="49"/>
        <v>080603</v>
      </c>
      <c r="K391" t="s">
        <v>23</v>
      </c>
      <c r="L391" t="s">
        <v>24</v>
      </c>
      <c r="M391" t="str">
        <f aca="true" t="shared" si="52" ref="M391:M410">CONCATENATE("1","")</f>
        <v>1</v>
      </c>
      <c r="O391" t="str">
        <f t="shared" si="51"/>
        <v>1 </v>
      </c>
      <c r="P391">
        <v>27.55</v>
      </c>
      <c r="Q391" t="s">
        <v>25</v>
      </c>
    </row>
    <row r="392" spans="1:17" ht="12.75">
      <c r="A392" t="s">
        <v>17</v>
      </c>
      <c r="B392" t="s">
        <v>18</v>
      </c>
      <c r="C392" t="s">
        <v>795</v>
      </c>
      <c r="D392" t="str">
        <f>CONCATENATE("0130007713","")</f>
        <v>0130007713</v>
      </c>
      <c r="E392" t="str">
        <f>CONCATENATE("0060225000380       ","")</f>
        <v>0060225000380       </v>
      </c>
      <c r="F392" t="str">
        <f>CONCATENATE("2187725","")</f>
        <v>2187725</v>
      </c>
      <c r="G392" t="s">
        <v>850</v>
      </c>
      <c r="H392" t="s">
        <v>855</v>
      </c>
      <c r="I392" t="s">
        <v>856</v>
      </c>
      <c r="J392" t="str">
        <f t="shared" si="49"/>
        <v>080603</v>
      </c>
      <c r="K392" t="s">
        <v>23</v>
      </c>
      <c r="L392" t="s">
        <v>24</v>
      </c>
      <c r="M392" t="str">
        <f t="shared" si="52"/>
        <v>1</v>
      </c>
      <c r="O392" t="str">
        <f t="shared" si="51"/>
        <v>1 </v>
      </c>
      <c r="P392">
        <v>208.1</v>
      </c>
      <c r="Q392" t="s">
        <v>25</v>
      </c>
    </row>
    <row r="393" spans="1:17" ht="12.75">
      <c r="A393" t="s">
        <v>17</v>
      </c>
      <c r="B393" t="s">
        <v>18</v>
      </c>
      <c r="C393" t="s">
        <v>795</v>
      </c>
      <c r="D393" t="str">
        <f>CONCATENATE("0130003154","")</f>
        <v>0130003154</v>
      </c>
      <c r="E393" t="str">
        <f>CONCATENATE("0060225000660       ","")</f>
        <v>0060225000660       </v>
      </c>
      <c r="F393" t="str">
        <f>CONCATENATE("605555332","")</f>
        <v>605555332</v>
      </c>
      <c r="G393" t="s">
        <v>850</v>
      </c>
      <c r="H393" t="s">
        <v>857</v>
      </c>
      <c r="I393" t="s">
        <v>858</v>
      </c>
      <c r="J393" t="str">
        <f t="shared" si="49"/>
        <v>080603</v>
      </c>
      <c r="K393" t="s">
        <v>23</v>
      </c>
      <c r="L393" t="s">
        <v>24</v>
      </c>
      <c r="M393" t="str">
        <f t="shared" si="52"/>
        <v>1</v>
      </c>
      <c r="O393" t="str">
        <f t="shared" si="51"/>
        <v>1 </v>
      </c>
      <c r="P393">
        <v>16.35</v>
      </c>
      <c r="Q393" t="s">
        <v>25</v>
      </c>
    </row>
    <row r="394" spans="1:17" ht="12.75">
      <c r="A394" t="s">
        <v>17</v>
      </c>
      <c r="B394" t="s">
        <v>18</v>
      </c>
      <c r="C394" t="s">
        <v>795</v>
      </c>
      <c r="D394" t="str">
        <f>CONCATENATE("0130007262","")</f>
        <v>0130007262</v>
      </c>
      <c r="E394" t="str">
        <f>CONCATENATE("0060225001401       ","")</f>
        <v>0060225001401       </v>
      </c>
      <c r="F394" t="str">
        <f>CONCATENATE("605555208","")</f>
        <v>605555208</v>
      </c>
      <c r="G394" t="s">
        <v>850</v>
      </c>
      <c r="H394" t="s">
        <v>859</v>
      </c>
      <c r="I394" t="s">
        <v>860</v>
      </c>
      <c r="J394" t="str">
        <f t="shared" si="49"/>
        <v>080603</v>
      </c>
      <c r="K394" t="s">
        <v>23</v>
      </c>
      <c r="L394" t="s">
        <v>24</v>
      </c>
      <c r="M394" t="str">
        <f t="shared" si="52"/>
        <v>1</v>
      </c>
      <c r="O394" t="str">
        <f t="shared" si="51"/>
        <v>1 </v>
      </c>
      <c r="P394">
        <v>65.75</v>
      </c>
      <c r="Q394" t="s">
        <v>25</v>
      </c>
    </row>
    <row r="395" spans="1:17" ht="12.75">
      <c r="A395" t="s">
        <v>17</v>
      </c>
      <c r="B395" t="s">
        <v>18</v>
      </c>
      <c r="C395" t="s">
        <v>795</v>
      </c>
      <c r="D395" t="str">
        <f>CONCATENATE("0130007397","")</f>
        <v>0130007397</v>
      </c>
      <c r="E395" t="str">
        <f>CONCATENATE("0060226000360       ","")</f>
        <v>0060226000360       </v>
      </c>
      <c r="F395" t="str">
        <f>CONCATENATE("605118006","")</f>
        <v>605118006</v>
      </c>
      <c r="G395" t="s">
        <v>850</v>
      </c>
      <c r="H395" t="s">
        <v>861</v>
      </c>
      <c r="I395" t="s">
        <v>862</v>
      </c>
      <c r="J395" t="str">
        <f t="shared" si="49"/>
        <v>080603</v>
      </c>
      <c r="K395" t="s">
        <v>23</v>
      </c>
      <c r="L395" t="s">
        <v>24</v>
      </c>
      <c r="M395" t="str">
        <f t="shared" si="52"/>
        <v>1</v>
      </c>
      <c r="O395" t="str">
        <f t="shared" si="51"/>
        <v>1 </v>
      </c>
      <c r="P395">
        <v>10.55</v>
      </c>
      <c r="Q395" t="s">
        <v>25</v>
      </c>
    </row>
    <row r="396" spans="1:17" ht="12.75">
      <c r="A396" t="s">
        <v>17</v>
      </c>
      <c r="B396" t="s">
        <v>18</v>
      </c>
      <c r="C396" t="s">
        <v>795</v>
      </c>
      <c r="D396" t="str">
        <f>CONCATENATE("0130008473","")</f>
        <v>0130008473</v>
      </c>
      <c r="E396" t="str">
        <f>CONCATENATE("0060228000211       ","")</f>
        <v>0060228000211       </v>
      </c>
      <c r="F396" t="str">
        <f>CONCATENATE("605392706","")</f>
        <v>605392706</v>
      </c>
      <c r="G396" t="s">
        <v>863</v>
      </c>
      <c r="H396" t="s">
        <v>864</v>
      </c>
      <c r="I396" t="s">
        <v>865</v>
      </c>
      <c r="J396" t="str">
        <f t="shared" si="49"/>
        <v>080603</v>
      </c>
      <c r="K396" t="s">
        <v>23</v>
      </c>
      <c r="L396" t="s">
        <v>24</v>
      </c>
      <c r="M396" t="str">
        <f t="shared" si="52"/>
        <v>1</v>
      </c>
      <c r="O396" t="str">
        <f t="shared" si="51"/>
        <v>1 </v>
      </c>
      <c r="P396">
        <v>11.75</v>
      </c>
      <c r="Q396" t="s">
        <v>25</v>
      </c>
    </row>
    <row r="397" spans="1:17" ht="12.75">
      <c r="A397" t="s">
        <v>17</v>
      </c>
      <c r="B397" t="s">
        <v>18</v>
      </c>
      <c r="C397" t="s">
        <v>795</v>
      </c>
      <c r="D397" t="str">
        <f>CONCATENATE("0130010207","")</f>
        <v>0130010207</v>
      </c>
      <c r="E397" t="str">
        <f>CONCATENATE("0060228000335       ","")</f>
        <v>0060228000335       </v>
      </c>
      <c r="F397" t="str">
        <f>CONCATENATE("605756288","")</f>
        <v>605756288</v>
      </c>
      <c r="G397" t="s">
        <v>850</v>
      </c>
      <c r="H397" t="s">
        <v>866</v>
      </c>
      <c r="I397" t="s">
        <v>867</v>
      </c>
      <c r="J397" t="str">
        <f t="shared" si="49"/>
        <v>080603</v>
      </c>
      <c r="K397" t="s">
        <v>23</v>
      </c>
      <c r="L397" t="s">
        <v>24</v>
      </c>
      <c r="M397" t="str">
        <f t="shared" si="52"/>
        <v>1</v>
      </c>
      <c r="O397" t="str">
        <f t="shared" si="51"/>
        <v>1 </v>
      </c>
      <c r="P397">
        <v>18.4</v>
      </c>
      <c r="Q397" t="s">
        <v>25</v>
      </c>
    </row>
    <row r="398" spans="1:17" ht="12.75">
      <c r="A398" t="s">
        <v>17</v>
      </c>
      <c r="B398" t="s">
        <v>18</v>
      </c>
      <c r="C398" t="s">
        <v>795</v>
      </c>
      <c r="D398" t="str">
        <f>CONCATENATE("0130014793","")</f>
        <v>0130014793</v>
      </c>
      <c r="E398" t="str">
        <f>CONCATENATE("0060229000040       ","")</f>
        <v>0060229000040       </v>
      </c>
      <c r="F398" t="str">
        <f>CONCATENATE("606799086","")</f>
        <v>606799086</v>
      </c>
      <c r="G398" t="s">
        <v>868</v>
      </c>
      <c r="H398" t="s">
        <v>869</v>
      </c>
      <c r="I398" t="s">
        <v>846</v>
      </c>
      <c r="J398" t="str">
        <f t="shared" si="49"/>
        <v>080603</v>
      </c>
      <c r="K398" t="s">
        <v>23</v>
      </c>
      <c r="L398" t="s">
        <v>24</v>
      </c>
      <c r="M398" t="str">
        <f t="shared" si="52"/>
        <v>1</v>
      </c>
      <c r="O398" t="str">
        <f t="shared" si="51"/>
        <v>1 </v>
      </c>
      <c r="P398">
        <v>63.4</v>
      </c>
      <c r="Q398" t="s">
        <v>25</v>
      </c>
    </row>
    <row r="399" spans="1:17" ht="12.75">
      <c r="A399" t="s">
        <v>17</v>
      </c>
      <c r="B399" t="s">
        <v>18</v>
      </c>
      <c r="C399" t="s">
        <v>795</v>
      </c>
      <c r="D399" t="str">
        <f>CONCATENATE("0130007261","")</f>
        <v>0130007261</v>
      </c>
      <c r="E399" t="str">
        <f>CONCATENATE("0060230001301       ","")</f>
        <v>0060230001301       </v>
      </c>
      <c r="F399" t="str">
        <f>CONCATENATE("605555204","")</f>
        <v>605555204</v>
      </c>
      <c r="G399" t="s">
        <v>870</v>
      </c>
      <c r="H399" t="s">
        <v>871</v>
      </c>
      <c r="I399" t="s">
        <v>872</v>
      </c>
      <c r="J399" t="str">
        <f t="shared" si="49"/>
        <v>080603</v>
      </c>
      <c r="K399" t="s">
        <v>23</v>
      </c>
      <c r="L399" t="s">
        <v>24</v>
      </c>
      <c r="M399" t="str">
        <f t="shared" si="52"/>
        <v>1</v>
      </c>
      <c r="O399" t="str">
        <f t="shared" si="51"/>
        <v>1 </v>
      </c>
      <c r="P399">
        <v>13.7</v>
      </c>
      <c r="Q399" t="s">
        <v>25</v>
      </c>
    </row>
    <row r="400" spans="1:17" ht="12.75">
      <c r="A400" t="s">
        <v>17</v>
      </c>
      <c r="B400" t="s">
        <v>18</v>
      </c>
      <c r="C400" t="s">
        <v>188</v>
      </c>
      <c r="D400" t="str">
        <f>CONCATENATE("0130009854","")</f>
        <v>0130009854</v>
      </c>
      <c r="E400" t="str">
        <f>CONCATENATE("0060235000510       ","")</f>
        <v>0060235000510       </v>
      </c>
      <c r="F400" t="str">
        <f>CONCATENATE("605555378","")</f>
        <v>605555378</v>
      </c>
      <c r="G400" t="s">
        <v>873</v>
      </c>
      <c r="H400" t="s">
        <v>874</v>
      </c>
      <c r="I400" t="s">
        <v>875</v>
      </c>
      <c r="J400" t="str">
        <f>CONCATENATE("080204","")</f>
        <v>080204</v>
      </c>
      <c r="K400" t="s">
        <v>23</v>
      </c>
      <c r="L400" t="s">
        <v>24</v>
      </c>
      <c r="M400" t="str">
        <f t="shared" si="52"/>
        <v>1</v>
      </c>
      <c r="O400" t="str">
        <f t="shared" si="51"/>
        <v>1 </v>
      </c>
      <c r="P400">
        <v>54.75</v>
      </c>
      <c r="Q400" t="s">
        <v>25</v>
      </c>
    </row>
    <row r="401" spans="1:17" ht="12.75">
      <c r="A401" t="s">
        <v>17</v>
      </c>
      <c r="B401" t="s">
        <v>18</v>
      </c>
      <c r="C401" t="s">
        <v>795</v>
      </c>
      <c r="D401" t="str">
        <f>CONCATENATE("0040033308","")</f>
        <v>0040033308</v>
      </c>
      <c r="E401" t="str">
        <f>CONCATENATE("0060242001038       ","")</f>
        <v>0060242001038       </v>
      </c>
      <c r="F401" t="str">
        <f>CONCATENATE("0606033687","")</f>
        <v>0606033687</v>
      </c>
      <c r="G401" t="s">
        <v>876</v>
      </c>
      <c r="H401" t="s">
        <v>877</v>
      </c>
      <c r="I401" t="s">
        <v>878</v>
      </c>
      <c r="J401" t="str">
        <f>CONCATENATE("080603","")</f>
        <v>080603</v>
      </c>
      <c r="K401" t="s">
        <v>23</v>
      </c>
      <c r="L401" t="s">
        <v>24</v>
      </c>
      <c r="M401" t="str">
        <f t="shared" si="52"/>
        <v>1</v>
      </c>
      <c r="O401" t="str">
        <f t="shared" si="51"/>
        <v>1 </v>
      </c>
      <c r="P401">
        <v>12.45</v>
      </c>
      <c r="Q401" t="s">
        <v>25</v>
      </c>
    </row>
    <row r="402" spans="1:17" ht="12.75">
      <c r="A402" t="s">
        <v>17</v>
      </c>
      <c r="B402" t="s">
        <v>18</v>
      </c>
      <c r="C402" t="s">
        <v>879</v>
      </c>
      <c r="D402" t="str">
        <f>CONCATENATE("0130009544","")</f>
        <v>0130009544</v>
      </c>
      <c r="E402" t="str">
        <f>CONCATENATE("0060301000120       ","")</f>
        <v>0060301000120       </v>
      </c>
      <c r="F402" t="str">
        <f>CONCATENATE("07590255","")</f>
        <v>07590255</v>
      </c>
      <c r="G402" t="s">
        <v>880</v>
      </c>
      <c r="H402" t="s">
        <v>881</v>
      </c>
      <c r="I402" t="s">
        <v>882</v>
      </c>
      <c r="J402" t="str">
        <f aca="true" t="shared" si="53" ref="J402:J449">CONCATENATE("080602","")</f>
        <v>080602</v>
      </c>
      <c r="K402" t="s">
        <v>23</v>
      </c>
      <c r="L402" t="s">
        <v>24</v>
      </c>
      <c r="M402" t="str">
        <f t="shared" si="52"/>
        <v>1</v>
      </c>
      <c r="O402" t="str">
        <f t="shared" si="51"/>
        <v>1 </v>
      </c>
      <c r="P402">
        <v>13.5</v>
      </c>
      <c r="Q402" t="s">
        <v>25</v>
      </c>
    </row>
    <row r="403" spans="1:17" ht="12.75">
      <c r="A403" t="s">
        <v>17</v>
      </c>
      <c r="B403" t="s">
        <v>18</v>
      </c>
      <c r="C403" t="s">
        <v>879</v>
      </c>
      <c r="D403" t="str">
        <f>CONCATENATE("0130012616","")</f>
        <v>0130012616</v>
      </c>
      <c r="E403" t="str">
        <f>CONCATENATE("0060301000260       ","")</f>
        <v>0060301000260       </v>
      </c>
      <c r="F403" t="str">
        <f>CONCATENATE("00000007609","")</f>
        <v>00000007609</v>
      </c>
      <c r="G403" t="s">
        <v>880</v>
      </c>
      <c r="H403" t="s">
        <v>883</v>
      </c>
      <c r="I403" t="s">
        <v>884</v>
      </c>
      <c r="J403" t="str">
        <f t="shared" si="53"/>
        <v>080602</v>
      </c>
      <c r="K403" t="s">
        <v>23</v>
      </c>
      <c r="L403" t="s">
        <v>24</v>
      </c>
      <c r="M403" t="str">
        <f t="shared" si="52"/>
        <v>1</v>
      </c>
      <c r="O403" t="str">
        <f t="shared" si="51"/>
        <v>1 </v>
      </c>
      <c r="P403">
        <v>14.05</v>
      </c>
      <c r="Q403" t="s">
        <v>25</v>
      </c>
    </row>
    <row r="404" spans="1:17" ht="12.75">
      <c r="A404" t="s">
        <v>17</v>
      </c>
      <c r="B404" t="s">
        <v>18</v>
      </c>
      <c r="C404" t="s">
        <v>879</v>
      </c>
      <c r="D404" t="str">
        <f>CONCATENATE("0130003302","")</f>
        <v>0130003302</v>
      </c>
      <c r="E404" t="str">
        <f>CONCATENATE("0060301000720       ","")</f>
        <v>0060301000720       </v>
      </c>
      <c r="F404" t="str">
        <f>CONCATENATE("606598163","")</f>
        <v>606598163</v>
      </c>
      <c r="G404" t="s">
        <v>880</v>
      </c>
      <c r="H404" t="s">
        <v>885</v>
      </c>
      <c r="I404" t="s">
        <v>886</v>
      </c>
      <c r="J404" t="str">
        <f t="shared" si="53"/>
        <v>080602</v>
      </c>
      <c r="K404" t="s">
        <v>23</v>
      </c>
      <c r="L404" t="s">
        <v>24</v>
      </c>
      <c r="M404" t="str">
        <f t="shared" si="52"/>
        <v>1</v>
      </c>
      <c r="O404" t="str">
        <f t="shared" si="51"/>
        <v>1 </v>
      </c>
      <c r="P404">
        <v>29.95</v>
      </c>
      <c r="Q404" t="s">
        <v>25</v>
      </c>
    </row>
    <row r="405" spans="1:17" ht="12.75">
      <c r="A405" t="s">
        <v>17</v>
      </c>
      <c r="B405" t="s">
        <v>18</v>
      </c>
      <c r="C405" t="s">
        <v>879</v>
      </c>
      <c r="D405" t="str">
        <f>CONCATENATE("0130003309","")</f>
        <v>0130003309</v>
      </c>
      <c r="E405" t="str">
        <f>CONCATENATE("0060301000900       ","")</f>
        <v>0060301000900       </v>
      </c>
      <c r="F405" t="str">
        <f>CONCATENATE("605121330","")</f>
        <v>605121330</v>
      </c>
      <c r="G405" t="s">
        <v>880</v>
      </c>
      <c r="H405" t="s">
        <v>887</v>
      </c>
      <c r="I405" t="s">
        <v>888</v>
      </c>
      <c r="J405" t="str">
        <f t="shared" si="53"/>
        <v>080602</v>
      </c>
      <c r="K405" t="s">
        <v>23</v>
      </c>
      <c r="L405" t="s">
        <v>24</v>
      </c>
      <c r="M405" t="str">
        <f t="shared" si="52"/>
        <v>1</v>
      </c>
      <c r="O405" t="str">
        <f t="shared" si="51"/>
        <v>1 </v>
      </c>
      <c r="P405">
        <v>74.15</v>
      </c>
      <c r="Q405" t="s">
        <v>25</v>
      </c>
    </row>
    <row r="406" spans="1:17" ht="12.75">
      <c r="A406" t="s">
        <v>17</v>
      </c>
      <c r="B406" t="s">
        <v>18</v>
      </c>
      <c r="C406" t="s">
        <v>879</v>
      </c>
      <c r="D406" t="str">
        <f>CONCATENATE("0130008997","")</f>
        <v>0130008997</v>
      </c>
      <c r="E406" t="str">
        <f>CONCATENATE("0060301000901       ","")</f>
        <v>0060301000901       </v>
      </c>
      <c r="F406" t="str">
        <f>CONCATENATE("7295541","")</f>
        <v>7295541</v>
      </c>
      <c r="G406" t="s">
        <v>880</v>
      </c>
      <c r="H406" t="s">
        <v>889</v>
      </c>
      <c r="I406" t="s">
        <v>890</v>
      </c>
      <c r="J406" t="str">
        <f t="shared" si="53"/>
        <v>080602</v>
      </c>
      <c r="K406" t="s">
        <v>23</v>
      </c>
      <c r="L406" t="s">
        <v>24</v>
      </c>
      <c r="M406" t="str">
        <f t="shared" si="52"/>
        <v>1</v>
      </c>
      <c r="O406" t="str">
        <f t="shared" si="51"/>
        <v>1 </v>
      </c>
      <c r="P406">
        <v>31.3</v>
      </c>
      <c r="Q406" t="s">
        <v>25</v>
      </c>
    </row>
    <row r="407" spans="1:17" ht="12.75">
      <c r="A407" t="s">
        <v>17</v>
      </c>
      <c r="B407" t="s">
        <v>18</v>
      </c>
      <c r="C407" t="s">
        <v>879</v>
      </c>
      <c r="D407" t="str">
        <f>CONCATENATE("0130012537","")</f>
        <v>0130012537</v>
      </c>
      <c r="E407" t="str">
        <f>CONCATENATE("0060301001225       ","")</f>
        <v>0060301001225       </v>
      </c>
      <c r="F407" t="str">
        <f>CONCATENATE("00000291294","")</f>
        <v>00000291294</v>
      </c>
      <c r="G407" t="s">
        <v>880</v>
      </c>
      <c r="H407" t="s">
        <v>891</v>
      </c>
      <c r="I407" t="s">
        <v>892</v>
      </c>
      <c r="J407" t="str">
        <f t="shared" si="53"/>
        <v>080602</v>
      </c>
      <c r="K407" t="s">
        <v>23</v>
      </c>
      <c r="L407" t="s">
        <v>24</v>
      </c>
      <c r="M407" t="str">
        <f t="shared" si="52"/>
        <v>1</v>
      </c>
      <c r="O407" t="str">
        <f t="shared" si="51"/>
        <v>1 </v>
      </c>
      <c r="P407">
        <v>17.3</v>
      </c>
      <c r="Q407" t="s">
        <v>25</v>
      </c>
    </row>
    <row r="408" spans="1:17" ht="12.75">
      <c r="A408" t="s">
        <v>17</v>
      </c>
      <c r="B408" t="s">
        <v>18</v>
      </c>
      <c r="C408" t="s">
        <v>879</v>
      </c>
      <c r="D408" t="str">
        <f>CONCATENATE("0130014834","")</f>
        <v>0130014834</v>
      </c>
      <c r="E408" t="str">
        <f>CONCATENATE("0060301001280       ","")</f>
        <v>0060301001280       </v>
      </c>
      <c r="F408" t="str">
        <f>CONCATENATE("607287979","")</f>
        <v>607287979</v>
      </c>
      <c r="G408" t="s">
        <v>880</v>
      </c>
      <c r="H408" t="s">
        <v>893</v>
      </c>
      <c r="I408" t="s">
        <v>894</v>
      </c>
      <c r="J408" t="str">
        <f t="shared" si="53"/>
        <v>080602</v>
      </c>
      <c r="K408" t="s">
        <v>23</v>
      </c>
      <c r="L408" t="s">
        <v>24</v>
      </c>
      <c r="M408" t="str">
        <f t="shared" si="52"/>
        <v>1</v>
      </c>
      <c r="O408" t="str">
        <f t="shared" si="51"/>
        <v>1 </v>
      </c>
      <c r="P408">
        <v>49.8</v>
      </c>
      <c r="Q408" t="s">
        <v>25</v>
      </c>
    </row>
    <row r="409" spans="1:17" ht="12.75">
      <c r="A409" t="s">
        <v>17</v>
      </c>
      <c r="B409" t="s">
        <v>18</v>
      </c>
      <c r="C409" t="s">
        <v>879</v>
      </c>
      <c r="D409" t="str">
        <f>CONCATENATE("0130003321","")</f>
        <v>0130003321</v>
      </c>
      <c r="E409" t="str">
        <f>CONCATENATE("0060301001290       ","")</f>
        <v>0060301001290       </v>
      </c>
      <c r="F409" t="str">
        <f>CONCATENATE("605121349","")</f>
        <v>605121349</v>
      </c>
      <c r="G409" t="s">
        <v>880</v>
      </c>
      <c r="H409" t="s">
        <v>895</v>
      </c>
      <c r="I409" t="s">
        <v>896</v>
      </c>
      <c r="J409" t="str">
        <f t="shared" si="53"/>
        <v>080602</v>
      </c>
      <c r="K409" t="s">
        <v>23</v>
      </c>
      <c r="L409" t="s">
        <v>24</v>
      </c>
      <c r="M409" t="str">
        <f t="shared" si="52"/>
        <v>1</v>
      </c>
      <c r="O409" t="str">
        <f t="shared" si="51"/>
        <v>1 </v>
      </c>
      <c r="P409">
        <v>79.95</v>
      </c>
      <c r="Q409" t="s">
        <v>25</v>
      </c>
    </row>
    <row r="410" spans="1:17" ht="12.75">
      <c r="A410" t="s">
        <v>17</v>
      </c>
      <c r="B410" t="s">
        <v>18</v>
      </c>
      <c r="C410" t="s">
        <v>879</v>
      </c>
      <c r="D410" t="str">
        <f>CONCATENATE("0130003369","")</f>
        <v>0130003369</v>
      </c>
      <c r="E410" t="str">
        <f>CONCATENATE("0060302000175       ","")</f>
        <v>0060302000175       </v>
      </c>
      <c r="F410" t="str">
        <f>CONCATENATE("605231325","")</f>
        <v>605231325</v>
      </c>
      <c r="G410" t="s">
        <v>897</v>
      </c>
      <c r="H410" t="s">
        <v>898</v>
      </c>
      <c r="I410" t="s">
        <v>899</v>
      </c>
      <c r="J410" t="str">
        <f t="shared" si="53"/>
        <v>080602</v>
      </c>
      <c r="K410" t="s">
        <v>23</v>
      </c>
      <c r="L410" t="s">
        <v>24</v>
      </c>
      <c r="M410" t="str">
        <f t="shared" si="52"/>
        <v>1</v>
      </c>
      <c r="O410" t="str">
        <f t="shared" si="51"/>
        <v>1 </v>
      </c>
      <c r="P410">
        <v>20.05</v>
      </c>
      <c r="Q410" t="s">
        <v>25</v>
      </c>
    </row>
    <row r="411" spans="1:17" ht="12.75">
      <c r="A411" t="s">
        <v>17</v>
      </c>
      <c r="B411" t="s">
        <v>18</v>
      </c>
      <c r="C411" t="s">
        <v>879</v>
      </c>
      <c r="D411" t="str">
        <f>CONCATENATE("0040032650","")</f>
        <v>0040032650</v>
      </c>
      <c r="E411" t="str">
        <f>CONCATENATE("0060302000181       ","")</f>
        <v>0060302000181       </v>
      </c>
      <c r="F411" t="str">
        <f>CONCATENATE("507031226","")</f>
        <v>507031226</v>
      </c>
      <c r="G411" t="s">
        <v>897</v>
      </c>
      <c r="H411" t="s">
        <v>900</v>
      </c>
      <c r="I411" t="s">
        <v>901</v>
      </c>
      <c r="J411" t="str">
        <f t="shared" si="53"/>
        <v>080602</v>
      </c>
      <c r="K411" t="s">
        <v>23</v>
      </c>
      <c r="L411" t="s">
        <v>24</v>
      </c>
      <c r="M411" t="str">
        <f>CONCATENATE("3","")</f>
        <v>3</v>
      </c>
      <c r="O411" t="str">
        <f t="shared" si="51"/>
        <v>1 </v>
      </c>
      <c r="P411">
        <v>1205.7</v>
      </c>
      <c r="Q411" t="s">
        <v>124</v>
      </c>
    </row>
    <row r="412" spans="1:17" ht="12.75">
      <c r="A412" t="s">
        <v>17</v>
      </c>
      <c r="B412" t="s">
        <v>18</v>
      </c>
      <c r="C412" t="s">
        <v>879</v>
      </c>
      <c r="D412" t="str">
        <f>CONCATENATE("0130003371","")</f>
        <v>0130003371</v>
      </c>
      <c r="E412" t="str">
        <f>CONCATENATE("0060302000185       ","")</f>
        <v>0060302000185       </v>
      </c>
      <c r="F412" t="str">
        <f>CONCATENATE("605232480","")</f>
        <v>605232480</v>
      </c>
      <c r="G412" t="s">
        <v>897</v>
      </c>
      <c r="H412" t="s">
        <v>902</v>
      </c>
      <c r="I412" t="s">
        <v>903</v>
      </c>
      <c r="J412" t="str">
        <f t="shared" si="53"/>
        <v>080602</v>
      </c>
      <c r="K412" t="s">
        <v>23</v>
      </c>
      <c r="L412" t="s">
        <v>24</v>
      </c>
      <c r="M412" t="str">
        <f aca="true" t="shared" si="54" ref="M412:M449">CONCATENATE("1","")</f>
        <v>1</v>
      </c>
      <c r="O412" t="str">
        <f t="shared" si="51"/>
        <v>1 </v>
      </c>
      <c r="P412">
        <v>11.8</v>
      </c>
      <c r="Q412" t="s">
        <v>25</v>
      </c>
    </row>
    <row r="413" spans="1:17" ht="12.75">
      <c r="A413" t="s">
        <v>17</v>
      </c>
      <c r="B413" t="s">
        <v>18</v>
      </c>
      <c r="C413" t="s">
        <v>879</v>
      </c>
      <c r="D413" t="str">
        <f>CONCATENATE("0130003373","")</f>
        <v>0130003373</v>
      </c>
      <c r="E413" t="str">
        <f>CONCATENATE("0060302000195       ","")</f>
        <v>0060302000195       </v>
      </c>
      <c r="F413" t="str">
        <f>CONCATENATE("605232464","")</f>
        <v>605232464</v>
      </c>
      <c r="G413" t="s">
        <v>897</v>
      </c>
      <c r="H413" t="s">
        <v>904</v>
      </c>
      <c r="I413" t="s">
        <v>905</v>
      </c>
      <c r="J413" t="str">
        <f t="shared" si="53"/>
        <v>080602</v>
      </c>
      <c r="K413" t="s">
        <v>23</v>
      </c>
      <c r="L413" t="s">
        <v>24</v>
      </c>
      <c r="M413" t="str">
        <f t="shared" si="54"/>
        <v>1</v>
      </c>
      <c r="O413" t="str">
        <f t="shared" si="51"/>
        <v>1 </v>
      </c>
      <c r="P413">
        <v>199.7</v>
      </c>
      <c r="Q413" t="s">
        <v>25</v>
      </c>
    </row>
    <row r="414" spans="1:17" ht="12.75">
      <c r="A414" t="s">
        <v>17</v>
      </c>
      <c r="B414" t="s">
        <v>18</v>
      </c>
      <c r="C414" t="s">
        <v>879</v>
      </c>
      <c r="D414" t="str">
        <f>CONCATENATE("0130003378","")</f>
        <v>0130003378</v>
      </c>
      <c r="E414" t="str">
        <f>CONCATENATE("0060302000225       ","")</f>
        <v>0060302000225       </v>
      </c>
      <c r="F414" t="str">
        <f>CONCATENATE("605231887","")</f>
        <v>605231887</v>
      </c>
      <c r="G414" t="s">
        <v>897</v>
      </c>
      <c r="H414" t="s">
        <v>906</v>
      </c>
      <c r="I414" t="s">
        <v>907</v>
      </c>
      <c r="J414" t="str">
        <f t="shared" si="53"/>
        <v>080602</v>
      </c>
      <c r="K414" t="s">
        <v>23</v>
      </c>
      <c r="L414" t="s">
        <v>24</v>
      </c>
      <c r="M414" t="str">
        <f t="shared" si="54"/>
        <v>1</v>
      </c>
      <c r="O414" t="str">
        <f t="shared" si="51"/>
        <v>1 </v>
      </c>
      <c r="P414">
        <v>21.35</v>
      </c>
      <c r="Q414" t="s">
        <v>25</v>
      </c>
    </row>
    <row r="415" spans="1:17" ht="12.75">
      <c r="A415" t="s">
        <v>17</v>
      </c>
      <c r="B415" t="s">
        <v>18</v>
      </c>
      <c r="C415" t="s">
        <v>879</v>
      </c>
      <c r="D415" t="str">
        <f>CONCATENATE("0130003408","")</f>
        <v>0130003408</v>
      </c>
      <c r="E415" t="str">
        <f>CONCATENATE("0060302000490       ","")</f>
        <v>0060302000490       </v>
      </c>
      <c r="F415" t="str">
        <f>CONCATENATE("605282340","")</f>
        <v>605282340</v>
      </c>
      <c r="G415" t="s">
        <v>897</v>
      </c>
      <c r="H415" t="s">
        <v>908</v>
      </c>
      <c r="I415" t="s">
        <v>909</v>
      </c>
      <c r="J415" t="str">
        <f t="shared" si="53"/>
        <v>080602</v>
      </c>
      <c r="K415" t="s">
        <v>23</v>
      </c>
      <c r="L415" t="s">
        <v>24</v>
      </c>
      <c r="M415" t="str">
        <f t="shared" si="54"/>
        <v>1</v>
      </c>
      <c r="O415" t="str">
        <f t="shared" si="51"/>
        <v>1 </v>
      </c>
      <c r="P415">
        <v>12.3</v>
      </c>
      <c r="Q415" t="s">
        <v>25</v>
      </c>
    </row>
    <row r="416" spans="1:17" ht="12.75">
      <c r="A416" t="s">
        <v>17</v>
      </c>
      <c r="B416" t="s">
        <v>18</v>
      </c>
      <c r="C416" t="s">
        <v>879</v>
      </c>
      <c r="D416" t="str">
        <f>CONCATENATE("0130003415","")</f>
        <v>0130003415</v>
      </c>
      <c r="E416" t="str">
        <f>CONCATENATE("0060302000560       ","")</f>
        <v>0060302000560       </v>
      </c>
      <c r="F416" t="str">
        <f>CONCATENATE("02313833","")</f>
        <v>02313833</v>
      </c>
      <c r="G416" t="s">
        <v>897</v>
      </c>
      <c r="H416" t="s">
        <v>910</v>
      </c>
      <c r="I416" t="s">
        <v>911</v>
      </c>
      <c r="J416" t="str">
        <f t="shared" si="53"/>
        <v>080602</v>
      </c>
      <c r="K416" t="s">
        <v>23</v>
      </c>
      <c r="L416" t="s">
        <v>24</v>
      </c>
      <c r="M416" t="str">
        <f t="shared" si="54"/>
        <v>1</v>
      </c>
      <c r="O416" t="str">
        <f t="shared" si="51"/>
        <v>1 </v>
      </c>
      <c r="P416">
        <v>44.6</v>
      </c>
      <c r="Q416" t="s">
        <v>25</v>
      </c>
    </row>
    <row r="417" spans="1:17" ht="12.75">
      <c r="A417" t="s">
        <v>17</v>
      </c>
      <c r="B417" t="s">
        <v>18</v>
      </c>
      <c r="C417" t="s">
        <v>879</v>
      </c>
      <c r="D417" t="str">
        <f>CONCATENATE("0130008689","")</f>
        <v>0130008689</v>
      </c>
      <c r="E417" t="str">
        <f>CONCATENATE("0060302002051       ","")</f>
        <v>0060302002051       </v>
      </c>
      <c r="F417" t="str">
        <f>CONCATENATE("7298808","")</f>
        <v>7298808</v>
      </c>
      <c r="G417" t="s">
        <v>897</v>
      </c>
      <c r="H417" t="s">
        <v>912</v>
      </c>
      <c r="I417" t="s">
        <v>913</v>
      </c>
      <c r="J417" t="str">
        <f t="shared" si="53"/>
        <v>080602</v>
      </c>
      <c r="K417" t="s">
        <v>23</v>
      </c>
      <c r="L417" t="s">
        <v>24</v>
      </c>
      <c r="M417" t="str">
        <f t="shared" si="54"/>
        <v>1</v>
      </c>
      <c r="O417" t="str">
        <f t="shared" si="51"/>
        <v>1 </v>
      </c>
      <c r="P417">
        <v>34.55</v>
      </c>
      <c r="Q417" t="s">
        <v>25</v>
      </c>
    </row>
    <row r="418" spans="1:17" ht="12.75">
      <c r="A418" t="s">
        <v>17</v>
      </c>
      <c r="B418" t="s">
        <v>18</v>
      </c>
      <c r="C418" t="s">
        <v>879</v>
      </c>
      <c r="D418" t="str">
        <f>CONCATENATE("0130003465","")</f>
        <v>0130003465</v>
      </c>
      <c r="E418" t="str">
        <f>CONCATENATE("0060302002200       ","")</f>
        <v>0060302002200       </v>
      </c>
      <c r="F418" t="str">
        <f>CONCATENATE("605231889","")</f>
        <v>605231889</v>
      </c>
      <c r="G418" t="s">
        <v>897</v>
      </c>
      <c r="H418" t="s">
        <v>914</v>
      </c>
      <c r="I418" t="s">
        <v>915</v>
      </c>
      <c r="J418" t="str">
        <f t="shared" si="53"/>
        <v>080602</v>
      </c>
      <c r="K418" t="s">
        <v>23</v>
      </c>
      <c r="L418" t="s">
        <v>24</v>
      </c>
      <c r="M418" t="str">
        <f t="shared" si="54"/>
        <v>1</v>
      </c>
      <c r="O418" t="str">
        <f t="shared" si="51"/>
        <v>1 </v>
      </c>
      <c r="P418">
        <v>21.7</v>
      </c>
      <c r="Q418" t="s">
        <v>25</v>
      </c>
    </row>
    <row r="419" spans="1:17" ht="12.75">
      <c r="A419" t="s">
        <v>17</v>
      </c>
      <c r="B419" t="s">
        <v>18</v>
      </c>
      <c r="C419" t="s">
        <v>879</v>
      </c>
      <c r="D419" t="str">
        <f>CONCATENATE("0130016834","")</f>
        <v>0130016834</v>
      </c>
      <c r="E419" t="str">
        <f>CONCATENATE("0060302002338       ","")</f>
        <v>0060302002338       </v>
      </c>
      <c r="F419" t="str">
        <f>CONCATENATE("605623868","")</f>
        <v>605623868</v>
      </c>
      <c r="G419" t="s">
        <v>880</v>
      </c>
      <c r="H419" t="s">
        <v>916</v>
      </c>
      <c r="I419" t="s">
        <v>917</v>
      </c>
      <c r="J419" t="str">
        <f t="shared" si="53"/>
        <v>080602</v>
      </c>
      <c r="K419" t="s">
        <v>23</v>
      </c>
      <c r="L419" t="s">
        <v>24</v>
      </c>
      <c r="M419" t="str">
        <f t="shared" si="54"/>
        <v>1</v>
      </c>
      <c r="O419" t="str">
        <f aca="true" t="shared" si="55" ref="O419:O448">CONCATENATE("1 ","")</f>
        <v>1 </v>
      </c>
      <c r="P419">
        <v>22.55</v>
      </c>
      <c r="Q419" t="s">
        <v>25</v>
      </c>
    </row>
    <row r="420" spans="1:17" ht="12.75">
      <c r="A420" t="s">
        <v>17</v>
      </c>
      <c r="B420" t="s">
        <v>18</v>
      </c>
      <c r="C420" t="s">
        <v>879</v>
      </c>
      <c r="D420" t="str">
        <f>CONCATENATE("0130003492","")</f>
        <v>0130003492</v>
      </c>
      <c r="E420" t="str">
        <f>CONCATENATE("0060303000020       ","")</f>
        <v>0060303000020       </v>
      </c>
      <c r="F420" t="str">
        <f>CONCATENATE("605747579","")</f>
        <v>605747579</v>
      </c>
      <c r="G420" t="s">
        <v>918</v>
      </c>
      <c r="H420" t="s">
        <v>919</v>
      </c>
      <c r="I420" t="s">
        <v>920</v>
      </c>
      <c r="J420" t="str">
        <f t="shared" si="53"/>
        <v>080602</v>
      </c>
      <c r="K420" t="s">
        <v>23</v>
      </c>
      <c r="L420" t="s">
        <v>24</v>
      </c>
      <c r="M420" t="str">
        <f t="shared" si="54"/>
        <v>1</v>
      </c>
      <c r="O420" t="str">
        <f t="shared" si="55"/>
        <v>1 </v>
      </c>
      <c r="P420">
        <v>36.8</v>
      </c>
      <c r="Q420" t="s">
        <v>25</v>
      </c>
    </row>
    <row r="421" spans="1:17" ht="12.75">
      <c r="A421" t="s">
        <v>17</v>
      </c>
      <c r="B421" t="s">
        <v>18</v>
      </c>
      <c r="C421" t="s">
        <v>879</v>
      </c>
      <c r="D421" t="str">
        <f>CONCATENATE("0040034286","")</f>
        <v>0040034286</v>
      </c>
      <c r="E421" t="str">
        <f>CONCATENATE("0060303000458       ","")</f>
        <v>0060303000458       </v>
      </c>
      <c r="F421" t="str">
        <f>CONCATENATE("606670653","")</f>
        <v>606670653</v>
      </c>
      <c r="G421" t="s">
        <v>918</v>
      </c>
      <c r="H421" t="s">
        <v>921</v>
      </c>
      <c r="I421" t="s">
        <v>922</v>
      </c>
      <c r="J421" t="str">
        <f t="shared" si="53"/>
        <v>080602</v>
      </c>
      <c r="K421" t="s">
        <v>23</v>
      </c>
      <c r="L421" t="s">
        <v>24</v>
      </c>
      <c r="M421" t="str">
        <f t="shared" si="54"/>
        <v>1</v>
      </c>
      <c r="O421" t="str">
        <f t="shared" si="55"/>
        <v>1 </v>
      </c>
      <c r="P421">
        <v>21.35</v>
      </c>
      <c r="Q421" t="s">
        <v>25</v>
      </c>
    </row>
    <row r="422" spans="1:17" ht="12.75">
      <c r="A422" t="s">
        <v>17</v>
      </c>
      <c r="B422" t="s">
        <v>18</v>
      </c>
      <c r="C422" t="s">
        <v>879</v>
      </c>
      <c r="D422" t="str">
        <f>CONCATENATE("0130003510","")</f>
        <v>0130003510</v>
      </c>
      <c r="E422" t="str">
        <f>CONCATENATE("0060303000500       ","")</f>
        <v>0060303000500       </v>
      </c>
      <c r="F422" t="str">
        <f>CONCATENATE("605743966","")</f>
        <v>605743966</v>
      </c>
      <c r="G422" t="s">
        <v>918</v>
      </c>
      <c r="H422" t="s">
        <v>923</v>
      </c>
      <c r="I422" t="s">
        <v>924</v>
      </c>
      <c r="J422" t="str">
        <f t="shared" si="53"/>
        <v>080602</v>
      </c>
      <c r="K422" t="s">
        <v>23</v>
      </c>
      <c r="L422" t="s">
        <v>24</v>
      </c>
      <c r="M422" t="str">
        <f t="shared" si="54"/>
        <v>1</v>
      </c>
      <c r="O422" t="str">
        <f t="shared" si="55"/>
        <v>1 </v>
      </c>
      <c r="P422">
        <v>272.5</v>
      </c>
      <c r="Q422" t="s">
        <v>25</v>
      </c>
    </row>
    <row r="423" spans="1:17" ht="12.75">
      <c r="A423" t="s">
        <v>17</v>
      </c>
      <c r="B423" t="s">
        <v>18</v>
      </c>
      <c r="C423" t="s">
        <v>879</v>
      </c>
      <c r="D423" t="str">
        <f>CONCATENATE("0130003533","")</f>
        <v>0130003533</v>
      </c>
      <c r="E423" t="str">
        <f>CONCATENATE("0060303001130       ","")</f>
        <v>0060303001130       </v>
      </c>
      <c r="F423" t="str">
        <f>CONCATENATE("605743969","")</f>
        <v>605743969</v>
      </c>
      <c r="G423" t="s">
        <v>918</v>
      </c>
      <c r="H423" t="s">
        <v>925</v>
      </c>
      <c r="I423" t="s">
        <v>926</v>
      </c>
      <c r="J423" t="str">
        <f t="shared" si="53"/>
        <v>080602</v>
      </c>
      <c r="K423" t="s">
        <v>23</v>
      </c>
      <c r="L423" t="s">
        <v>24</v>
      </c>
      <c r="M423" t="str">
        <f t="shared" si="54"/>
        <v>1</v>
      </c>
      <c r="O423" t="str">
        <f t="shared" si="55"/>
        <v>1 </v>
      </c>
      <c r="P423">
        <v>68.5</v>
      </c>
      <c r="Q423" t="s">
        <v>25</v>
      </c>
    </row>
    <row r="424" spans="1:17" ht="12.75">
      <c r="A424" t="s">
        <v>17</v>
      </c>
      <c r="B424" t="s">
        <v>18</v>
      </c>
      <c r="C424" t="s">
        <v>879</v>
      </c>
      <c r="D424" t="str">
        <f>CONCATENATE("0130003539","")</f>
        <v>0130003539</v>
      </c>
      <c r="E424" t="str">
        <f>CONCATENATE("0060303001200       ","")</f>
        <v>0060303001200       </v>
      </c>
      <c r="F424" t="str">
        <f>CONCATENATE("605743972","")</f>
        <v>605743972</v>
      </c>
      <c r="G424" t="s">
        <v>918</v>
      </c>
      <c r="H424" t="s">
        <v>927</v>
      </c>
      <c r="I424" t="s">
        <v>928</v>
      </c>
      <c r="J424" t="str">
        <f t="shared" si="53"/>
        <v>080602</v>
      </c>
      <c r="K424" t="s">
        <v>23</v>
      </c>
      <c r="L424" t="s">
        <v>24</v>
      </c>
      <c r="M424" t="str">
        <f t="shared" si="54"/>
        <v>1</v>
      </c>
      <c r="O424" t="str">
        <f t="shared" si="55"/>
        <v>1 </v>
      </c>
      <c r="P424">
        <v>45.05</v>
      </c>
      <c r="Q424" t="s">
        <v>25</v>
      </c>
    </row>
    <row r="425" spans="1:17" ht="12.75">
      <c r="A425" t="s">
        <v>17</v>
      </c>
      <c r="B425" t="s">
        <v>18</v>
      </c>
      <c r="C425" t="s">
        <v>879</v>
      </c>
      <c r="D425" t="str">
        <f>CONCATENATE("0130003554","")</f>
        <v>0130003554</v>
      </c>
      <c r="E425" t="str">
        <f>CONCATENATE("0060303001540       ","")</f>
        <v>0060303001540       </v>
      </c>
      <c r="F425" t="str">
        <f>CONCATENATE("605231324","")</f>
        <v>605231324</v>
      </c>
      <c r="G425" t="s">
        <v>918</v>
      </c>
      <c r="H425" t="s">
        <v>929</v>
      </c>
      <c r="I425" t="s">
        <v>930</v>
      </c>
      <c r="J425" t="str">
        <f t="shared" si="53"/>
        <v>080602</v>
      </c>
      <c r="K425" t="s">
        <v>23</v>
      </c>
      <c r="L425" t="s">
        <v>24</v>
      </c>
      <c r="M425" t="str">
        <f t="shared" si="54"/>
        <v>1</v>
      </c>
      <c r="O425" t="str">
        <f t="shared" si="55"/>
        <v>1 </v>
      </c>
      <c r="P425">
        <v>31.15</v>
      </c>
      <c r="Q425" t="s">
        <v>25</v>
      </c>
    </row>
    <row r="426" spans="1:17" ht="12.75">
      <c r="A426" t="s">
        <v>17</v>
      </c>
      <c r="B426" t="s">
        <v>18</v>
      </c>
      <c r="C426" t="s">
        <v>879</v>
      </c>
      <c r="D426" t="str">
        <f>CONCATENATE("0130003556","")</f>
        <v>0130003556</v>
      </c>
      <c r="E426" t="str">
        <f>CONCATENATE("0060303001570       ","")</f>
        <v>0060303001570       </v>
      </c>
      <c r="F426" t="str">
        <f>CONCATENATE("605565066","")</f>
        <v>605565066</v>
      </c>
      <c r="G426" t="s">
        <v>918</v>
      </c>
      <c r="H426" t="s">
        <v>931</v>
      </c>
      <c r="I426" t="s">
        <v>932</v>
      </c>
      <c r="J426" t="str">
        <f t="shared" si="53"/>
        <v>080602</v>
      </c>
      <c r="K426" t="s">
        <v>23</v>
      </c>
      <c r="L426" t="s">
        <v>24</v>
      </c>
      <c r="M426" t="str">
        <f t="shared" si="54"/>
        <v>1</v>
      </c>
      <c r="O426" t="str">
        <f t="shared" si="55"/>
        <v>1 </v>
      </c>
      <c r="P426">
        <v>127.4</v>
      </c>
      <c r="Q426" t="s">
        <v>25</v>
      </c>
    </row>
    <row r="427" spans="1:17" ht="12.75">
      <c r="A427" t="s">
        <v>17</v>
      </c>
      <c r="B427" t="s">
        <v>18</v>
      </c>
      <c r="C427" t="s">
        <v>879</v>
      </c>
      <c r="D427" t="str">
        <f>CONCATENATE("0130014554","")</f>
        <v>0130014554</v>
      </c>
      <c r="E427" t="str">
        <f>CONCATENATE("0060303001578       ","")</f>
        <v>0060303001578       </v>
      </c>
      <c r="F427" t="str">
        <f>CONCATENATE("607303506","")</f>
        <v>607303506</v>
      </c>
      <c r="G427" t="s">
        <v>918</v>
      </c>
      <c r="H427" t="s">
        <v>263</v>
      </c>
      <c r="I427" t="s">
        <v>933</v>
      </c>
      <c r="J427" t="str">
        <f t="shared" si="53"/>
        <v>080602</v>
      </c>
      <c r="K427" t="s">
        <v>23</v>
      </c>
      <c r="L427" t="s">
        <v>24</v>
      </c>
      <c r="M427" t="str">
        <f t="shared" si="54"/>
        <v>1</v>
      </c>
      <c r="O427" t="str">
        <f t="shared" si="55"/>
        <v>1 </v>
      </c>
      <c r="P427">
        <v>15.35</v>
      </c>
      <c r="Q427" t="s">
        <v>25</v>
      </c>
    </row>
    <row r="428" spans="1:17" ht="12.75">
      <c r="A428" t="s">
        <v>17</v>
      </c>
      <c r="B428" t="s">
        <v>18</v>
      </c>
      <c r="C428" t="s">
        <v>879</v>
      </c>
      <c r="D428" t="str">
        <f>CONCATENATE("0130010044","")</f>
        <v>0130010044</v>
      </c>
      <c r="E428" t="str">
        <f>CONCATENATE("0060303001580       ","")</f>
        <v>0060303001580       </v>
      </c>
      <c r="F428" t="str">
        <f>CONCATENATE("605121348","")</f>
        <v>605121348</v>
      </c>
      <c r="G428" t="s">
        <v>918</v>
      </c>
      <c r="H428" t="s">
        <v>934</v>
      </c>
      <c r="I428" t="s">
        <v>935</v>
      </c>
      <c r="J428" t="str">
        <f t="shared" si="53"/>
        <v>080602</v>
      </c>
      <c r="K428" t="s">
        <v>23</v>
      </c>
      <c r="L428" t="s">
        <v>24</v>
      </c>
      <c r="M428" t="str">
        <f t="shared" si="54"/>
        <v>1</v>
      </c>
      <c r="O428" t="str">
        <f t="shared" si="55"/>
        <v>1 </v>
      </c>
      <c r="P428">
        <v>28.4</v>
      </c>
      <c r="Q428" t="s">
        <v>25</v>
      </c>
    </row>
    <row r="429" spans="1:17" ht="12.75">
      <c r="A429" t="s">
        <v>17</v>
      </c>
      <c r="B429" t="s">
        <v>18</v>
      </c>
      <c r="C429" t="s">
        <v>879</v>
      </c>
      <c r="D429" t="str">
        <f>CONCATENATE("0130008272","")</f>
        <v>0130008272</v>
      </c>
      <c r="E429" t="str">
        <f>CONCATENATE("0060303001585       ","")</f>
        <v>0060303001585       </v>
      </c>
      <c r="F429" t="str">
        <f>CONCATENATE("605231323","")</f>
        <v>605231323</v>
      </c>
      <c r="G429" t="s">
        <v>918</v>
      </c>
      <c r="H429" t="s">
        <v>936</v>
      </c>
      <c r="I429" t="s">
        <v>937</v>
      </c>
      <c r="J429" t="str">
        <f t="shared" si="53"/>
        <v>080602</v>
      </c>
      <c r="K429" t="s">
        <v>23</v>
      </c>
      <c r="L429" t="s">
        <v>24</v>
      </c>
      <c r="M429" t="str">
        <f t="shared" si="54"/>
        <v>1</v>
      </c>
      <c r="O429" t="str">
        <f t="shared" si="55"/>
        <v>1 </v>
      </c>
      <c r="P429">
        <v>12.75</v>
      </c>
      <c r="Q429" t="s">
        <v>25</v>
      </c>
    </row>
    <row r="430" spans="1:17" ht="12.75">
      <c r="A430" t="s">
        <v>17</v>
      </c>
      <c r="B430" t="s">
        <v>18</v>
      </c>
      <c r="C430" t="s">
        <v>879</v>
      </c>
      <c r="D430" t="str">
        <f>CONCATENATE("0130008172","")</f>
        <v>0130008172</v>
      </c>
      <c r="E430" t="str">
        <f>CONCATENATE("0060305000130       ","")</f>
        <v>0060305000130       </v>
      </c>
      <c r="F430" t="str">
        <f>CONCATENATE("605397214","")</f>
        <v>605397214</v>
      </c>
      <c r="G430" t="s">
        <v>938</v>
      </c>
      <c r="H430" t="s">
        <v>939</v>
      </c>
      <c r="I430" t="s">
        <v>940</v>
      </c>
      <c r="J430" t="str">
        <f t="shared" si="53"/>
        <v>080602</v>
      </c>
      <c r="K430" t="s">
        <v>23</v>
      </c>
      <c r="L430" t="s">
        <v>24</v>
      </c>
      <c r="M430" t="str">
        <f t="shared" si="54"/>
        <v>1</v>
      </c>
      <c r="O430" t="str">
        <f t="shared" si="55"/>
        <v>1 </v>
      </c>
      <c r="P430">
        <v>13.85</v>
      </c>
      <c r="Q430" t="s">
        <v>25</v>
      </c>
    </row>
    <row r="431" spans="1:17" ht="12.75">
      <c r="A431" t="s">
        <v>17</v>
      </c>
      <c r="B431" t="s">
        <v>18</v>
      </c>
      <c r="C431" t="s">
        <v>879</v>
      </c>
      <c r="D431" t="str">
        <f>CONCATENATE("0130019234","")</f>
        <v>0130019234</v>
      </c>
      <c r="E431" t="str">
        <f>CONCATENATE("0060308001010       ","")</f>
        <v>0060308001010       </v>
      </c>
      <c r="F431" t="str">
        <f>CONCATENATE("90500236","")</f>
        <v>90500236</v>
      </c>
      <c r="G431" t="s">
        <v>941</v>
      </c>
      <c r="H431" t="s">
        <v>942</v>
      </c>
      <c r="I431" t="s">
        <v>943</v>
      </c>
      <c r="J431" t="str">
        <f t="shared" si="53"/>
        <v>080602</v>
      </c>
      <c r="K431" t="s">
        <v>23</v>
      </c>
      <c r="L431" t="s">
        <v>24</v>
      </c>
      <c r="M431" t="str">
        <f t="shared" si="54"/>
        <v>1</v>
      </c>
      <c r="O431" t="str">
        <f t="shared" si="55"/>
        <v>1 </v>
      </c>
      <c r="P431">
        <v>14.25</v>
      </c>
      <c r="Q431" t="s">
        <v>25</v>
      </c>
    </row>
    <row r="432" spans="1:17" ht="12.75">
      <c r="A432" t="s">
        <v>17</v>
      </c>
      <c r="B432" t="s">
        <v>18</v>
      </c>
      <c r="C432" t="s">
        <v>879</v>
      </c>
      <c r="D432" t="str">
        <f>CONCATENATE("0130017394","")</f>
        <v>0130017394</v>
      </c>
      <c r="E432" t="str">
        <f>CONCATENATE("0060309001280       ","")</f>
        <v>0060309001280       </v>
      </c>
      <c r="F432" t="str">
        <f>CONCATENATE("90600974","")</f>
        <v>90600974</v>
      </c>
      <c r="G432" t="s">
        <v>944</v>
      </c>
      <c r="H432" t="s">
        <v>945</v>
      </c>
      <c r="I432" t="s">
        <v>946</v>
      </c>
      <c r="J432" t="str">
        <f t="shared" si="53"/>
        <v>080602</v>
      </c>
      <c r="K432" t="s">
        <v>23</v>
      </c>
      <c r="L432" t="s">
        <v>24</v>
      </c>
      <c r="M432" t="str">
        <f t="shared" si="54"/>
        <v>1</v>
      </c>
      <c r="O432" t="str">
        <f t="shared" si="55"/>
        <v>1 </v>
      </c>
      <c r="P432">
        <v>25.95</v>
      </c>
      <c r="Q432" t="s">
        <v>25</v>
      </c>
    </row>
    <row r="433" spans="1:17" ht="12.75">
      <c r="A433" t="s">
        <v>17</v>
      </c>
      <c r="B433" t="s">
        <v>18</v>
      </c>
      <c r="C433" t="s">
        <v>879</v>
      </c>
      <c r="D433" t="str">
        <f>CONCATENATE("0130017405","")</f>
        <v>0130017405</v>
      </c>
      <c r="E433" t="str">
        <f>CONCATENATE("0060309002090       ","")</f>
        <v>0060309002090       </v>
      </c>
      <c r="F433" t="str">
        <f>CONCATENATE("90600978","")</f>
        <v>90600978</v>
      </c>
      <c r="G433" t="s">
        <v>944</v>
      </c>
      <c r="H433" t="s">
        <v>947</v>
      </c>
      <c r="I433" t="s">
        <v>946</v>
      </c>
      <c r="J433" t="str">
        <f t="shared" si="53"/>
        <v>080602</v>
      </c>
      <c r="K433" t="s">
        <v>23</v>
      </c>
      <c r="L433" t="s">
        <v>24</v>
      </c>
      <c r="M433" t="str">
        <f t="shared" si="54"/>
        <v>1</v>
      </c>
      <c r="O433" t="str">
        <f t="shared" si="55"/>
        <v>1 </v>
      </c>
      <c r="P433">
        <v>19.8</v>
      </c>
      <c r="Q433" t="s">
        <v>25</v>
      </c>
    </row>
    <row r="434" spans="1:17" ht="12.75">
      <c r="A434" t="s">
        <v>17</v>
      </c>
      <c r="B434" t="s">
        <v>18</v>
      </c>
      <c r="C434" t="s">
        <v>879</v>
      </c>
      <c r="D434" t="str">
        <f>CONCATENATE("0130017418","")</f>
        <v>0130017418</v>
      </c>
      <c r="E434" t="str">
        <f>CONCATENATE("0060309002230       ","")</f>
        <v>0060309002230       </v>
      </c>
      <c r="F434" t="str">
        <f>CONCATENATE("90500717","")</f>
        <v>90500717</v>
      </c>
      <c r="G434" t="s">
        <v>944</v>
      </c>
      <c r="H434" t="s">
        <v>948</v>
      </c>
      <c r="I434" t="s">
        <v>946</v>
      </c>
      <c r="J434" t="str">
        <f t="shared" si="53"/>
        <v>080602</v>
      </c>
      <c r="K434" t="s">
        <v>23</v>
      </c>
      <c r="L434" t="s">
        <v>24</v>
      </c>
      <c r="M434" t="str">
        <f t="shared" si="54"/>
        <v>1</v>
      </c>
      <c r="O434" t="str">
        <f t="shared" si="55"/>
        <v>1 </v>
      </c>
      <c r="P434">
        <v>18.7</v>
      </c>
      <c r="Q434" t="s">
        <v>25</v>
      </c>
    </row>
    <row r="435" spans="1:17" ht="12.75">
      <c r="A435" t="s">
        <v>17</v>
      </c>
      <c r="B435" t="s">
        <v>18</v>
      </c>
      <c r="C435" t="s">
        <v>879</v>
      </c>
      <c r="D435" t="str">
        <f>CONCATENATE("0130017345","")</f>
        <v>0130017345</v>
      </c>
      <c r="E435" t="str">
        <f>CONCATENATE("0060310001090       ","")</f>
        <v>0060310001090       </v>
      </c>
      <c r="F435" t="str">
        <f>CONCATENATE("90500007","")</f>
        <v>90500007</v>
      </c>
      <c r="G435" t="s">
        <v>949</v>
      </c>
      <c r="H435" t="s">
        <v>950</v>
      </c>
      <c r="I435" t="s">
        <v>951</v>
      </c>
      <c r="J435" t="str">
        <f t="shared" si="53"/>
        <v>080602</v>
      </c>
      <c r="K435" t="s">
        <v>23</v>
      </c>
      <c r="L435" t="s">
        <v>24</v>
      </c>
      <c r="M435" t="str">
        <f t="shared" si="54"/>
        <v>1</v>
      </c>
      <c r="O435" t="str">
        <f t="shared" si="55"/>
        <v>1 </v>
      </c>
      <c r="P435">
        <v>12.4</v>
      </c>
      <c r="Q435" t="s">
        <v>25</v>
      </c>
    </row>
    <row r="436" spans="1:17" ht="12.75">
      <c r="A436" t="s">
        <v>17</v>
      </c>
      <c r="B436" t="s">
        <v>18</v>
      </c>
      <c r="C436" t="s">
        <v>879</v>
      </c>
      <c r="D436" t="str">
        <f>CONCATENATE("0130017326","")</f>
        <v>0130017326</v>
      </c>
      <c r="E436" t="str">
        <f>CONCATENATE("0060310002090       ","")</f>
        <v>0060310002090       </v>
      </c>
      <c r="F436" t="str">
        <f>CONCATENATE("90500006","")</f>
        <v>90500006</v>
      </c>
      <c r="G436" t="s">
        <v>949</v>
      </c>
      <c r="H436" t="s">
        <v>952</v>
      </c>
      <c r="I436" t="s">
        <v>951</v>
      </c>
      <c r="J436" t="str">
        <f t="shared" si="53"/>
        <v>080602</v>
      </c>
      <c r="K436" t="s">
        <v>23</v>
      </c>
      <c r="L436" t="s">
        <v>24</v>
      </c>
      <c r="M436" t="str">
        <f t="shared" si="54"/>
        <v>1</v>
      </c>
      <c r="O436" t="str">
        <f t="shared" si="55"/>
        <v>1 </v>
      </c>
      <c r="P436">
        <v>19.2</v>
      </c>
      <c r="Q436" t="s">
        <v>25</v>
      </c>
    </row>
    <row r="437" spans="1:17" ht="12.75">
      <c r="A437" t="s">
        <v>17</v>
      </c>
      <c r="B437" t="s">
        <v>18</v>
      </c>
      <c r="C437" t="s">
        <v>879</v>
      </c>
      <c r="D437" t="str">
        <f>CONCATENATE("0130019284","")</f>
        <v>0130019284</v>
      </c>
      <c r="E437" t="str">
        <f>CONCATENATE("0060311002070       ","")</f>
        <v>0060311002070       </v>
      </c>
      <c r="F437" t="str">
        <f>CONCATENATE("90601125","")</f>
        <v>90601125</v>
      </c>
      <c r="G437" t="s">
        <v>953</v>
      </c>
      <c r="H437" t="s">
        <v>954</v>
      </c>
      <c r="I437" t="s">
        <v>955</v>
      </c>
      <c r="J437" t="str">
        <f t="shared" si="53"/>
        <v>080602</v>
      </c>
      <c r="K437" t="s">
        <v>23</v>
      </c>
      <c r="L437" t="s">
        <v>24</v>
      </c>
      <c r="M437" t="str">
        <f t="shared" si="54"/>
        <v>1</v>
      </c>
      <c r="O437" t="str">
        <f t="shared" si="55"/>
        <v>1 </v>
      </c>
      <c r="P437">
        <v>12</v>
      </c>
      <c r="Q437" t="s">
        <v>25</v>
      </c>
    </row>
    <row r="438" spans="1:17" ht="12.75">
      <c r="A438" t="s">
        <v>17</v>
      </c>
      <c r="B438" t="s">
        <v>18</v>
      </c>
      <c r="C438" t="s">
        <v>879</v>
      </c>
      <c r="D438" t="str">
        <f>CONCATENATE("0130003599","")</f>
        <v>0130003599</v>
      </c>
      <c r="E438" t="str">
        <f>CONCATENATE("0060320000110       ","")</f>
        <v>0060320000110       </v>
      </c>
      <c r="F438" t="str">
        <f>CONCATENATE("605392338","")</f>
        <v>605392338</v>
      </c>
      <c r="G438" t="s">
        <v>956</v>
      </c>
      <c r="H438" t="s">
        <v>957</v>
      </c>
      <c r="I438" t="s">
        <v>958</v>
      </c>
      <c r="J438" t="str">
        <f t="shared" si="53"/>
        <v>080602</v>
      </c>
      <c r="K438" t="s">
        <v>23</v>
      </c>
      <c r="L438" t="s">
        <v>24</v>
      </c>
      <c r="M438" t="str">
        <f t="shared" si="54"/>
        <v>1</v>
      </c>
      <c r="O438" t="str">
        <f t="shared" si="55"/>
        <v>1 </v>
      </c>
      <c r="P438">
        <v>19.25</v>
      </c>
      <c r="Q438" t="s">
        <v>25</v>
      </c>
    </row>
    <row r="439" spans="1:17" ht="12.75">
      <c r="A439" t="s">
        <v>17</v>
      </c>
      <c r="B439" t="s">
        <v>18</v>
      </c>
      <c r="C439" t="s">
        <v>879</v>
      </c>
      <c r="D439" t="str">
        <f>CONCATENATE("0130003603","")</f>
        <v>0130003603</v>
      </c>
      <c r="E439" t="str">
        <f>CONCATENATE("0060320000160       ","")</f>
        <v>0060320000160       </v>
      </c>
      <c r="F439" t="str">
        <f>CONCATENATE("605391415","")</f>
        <v>605391415</v>
      </c>
      <c r="G439" t="s">
        <v>956</v>
      </c>
      <c r="H439" t="s">
        <v>959</v>
      </c>
      <c r="I439" t="s">
        <v>958</v>
      </c>
      <c r="J439" t="str">
        <f t="shared" si="53"/>
        <v>080602</v>
      </c>
      <c r="K439" t="s">
        <v>23</v>
      </c>
      <c r="L439" t="s">
        <v>24</v>
      </c>
      <c r="M439" t="str">
        <f t="shared" si="54"/>
        <v>1</v>
      </c>
      <c r="O439" t="str">
        <f t="shared" si="55"/>
        <v>1 </v>
      </c>
      <c r="P439">
        <v>11.5</v>
      </c>
      <c r="Q439" t="s">
        <v>25</v>
      </c>
    </row>
    <row r="440" spans="1:17" ht="12.75">
      <c r="A440" t="s">
        <v>17</v>
      </c>
      <c r="B440" t="s">
        <v>18</v>
      </c>
      <c r="C440" t="s">
        <v>879</v>
      </c>
      <c r="D440" t="str">
        <f>CONCATENATE("0130003613","")</f>
        <v>0130003613</v>
      </c>
      <c r="E440" t="str">
        <f>CONCATENATE("0060320000250       ","")</f>
        <v>0060320000250       </v>
      </c>
      <c r="F440" t="str">
        <f>CONCATENATE("605392342","")</f>
        <v>605392342</v>
      </c>
      <c r="G440" t="s">
        <v>956</v>
      </c>
      <c r="H440" t="s">
        <v>960</v>
      </c>
      <c r="I440" t="s">
        <v>958</v>
      </c>
      <c r="J440" t="str">
        <f t="shared" si="53"/>
        <v>080602</v>
      </c>
      <c r="K440" t="s">
        <v>23</v>
      </c>
      <c r="L440" t="s">
        <v>24</v>
      </c>
      <c r="M440" t="str">
        <f t="shared" si="54"/>
        <v>1</v>
      </c>
      <c r="O440" t="str">
        <f t="shared" si="55"/>
        <v>1 </v>
      </c>
      <c r="P440">
        <v>11.5</v>
      </c>
      <c r="Q440" t="s">
        <v>25</v>
      </c>
    </row>
    <row r="441" spans="1:17" ht="12.75">
      <c r="A441" t="s">
        <v>17</v>
      </c>
      <c r="B441" t="s">
        <v>18</v>
      </c>
      <c r="C441" t="s">
        <v>879</v>
      </c>
      <c r="D441" t="str">
        <f>CONCATENATE("0130021603","")</f>
        <v>0130021603</v>
      </c>
      <c r="E441" t="str">
        <f>CONCATENATE("0060320000257       ","")</f>
        <v>0060320000257       </v>
      </c>
      <c r="F441" t="str">
        <f>CONCATENATE("1939183","")</f>
        <v>1939183</v>
      </c>
      <c r="G441" t="s">
        <v>956</v>
      </c>
      <c r="H441" t="s">
        <v>961</v>
      </c>
      <c r="I441" t="s">
        <v>962</v>
      </c>
      <c r="J441" t="str">
        <f t="shared" si="53"/>
        <v>080602</v>
      </c>
      <c r="K441" t="s">
        <v>23</v>
      </c>
      <c r="L441" t="s">
        <v>24</v>
      </c>
      <c r="M441" t="str">
        <f t="shared" si="54"/>
        <v>1</v>
      </c>
      <c r="O441" t="str">
        <f t="shared" si="55"/>
        <v>1 </v>
      </c>
      <c r="P441">
        <v>39.35</v>
      </c>
      <c r="Q441" t="s">
        <v>25</v>
      </c>
    </row>
    <row r="442" spans="1:17" ht="12.75">
      <c r="A442" t="s">
        <v>17</v>
      </c>
      <c r="B442" t="s">
        <v>18</v>
      </c>
      <c r="C442" t="s">
        <v>879</v>
      </c>
      <c r="D442" t="str">
        <f>CONCATENATE("0130003615","")</f>
        <v>0130003615</v>
      </c>
      <c r="E442" t="str">
        <f>CONCATENATE("0060320000270       ","")</f>
        <v>0060320000270       </v>
      </c>
      <c r="F442" t="str">
        <f>CONCATENATE("605391426","")</f>
        <v>605391426</v>
      </c>
      <c r="G442" t="s">
        <v>956</v>
      </c>
      <c r="H442" t="s">
        <v>963</v>
      </c>
      <c r="I442" t="s">
        <v>958</v>
      </c>
      <c r="J442" t="str">
        <f t="shared" si="53"/>
        <v>080602</v>
      </c>
      <c r="K442" t="s">
        <v>23</v>
      </c>
      <c r="L442" t="s">
        <v>24</v>
      </c>
      <c r="M442" t="str">
        <f t="shared" si="54"/>
        <v>1</v>
      </c>
      <c r="O442" t="str">
        <f t="shared" si="55"/>
        <v>1 </v>
      </c>
      <c r="P442">
        <v>23.85</v>
      </c>
      <c r="Q442" t="s">
        <v>25</v>
      </c>
    </row>
    <row r="443" spans="1:17" ht="12.75">
      <c r="A443" t="s">
        <v>17</v>
      </c>
      <c r="B443" t="s">
        <v>18</v>
      </c>
      <c r="C443" t="s">
        <v>879</v>
      </c>
      <c r="D443" t="str">
        <f>CONCATENATE("0040038537","")</f>
        <v>0040038537</v>
      </c>
      <c r="E443" t="str">
        <f>CONCATENATE("0060320000350       ","")</f>
        <v>0060320000350       </v>
      </c>
      <c r="F443" t="str">
        <f>CONCATENATE("606599716","")</f>
        <v>606599716</v>
      </c>
      <c r="G443" t="s">
        <v>956</v>
      </c>
      <c r="H443" t="s">
        <v>964</v>
      </c>
      <c r="I443" t="s">
        <v>965</v>
      </c>
      <c r="J443" t="str">
        <f t="shared" si="53"/>
        <v>080602</v>
      </c>
      <c r="K443" t="s">
        <v>23</v>
      </c>
      <c r="L443" t="s">
        <v>24</v>
      </c>
      <c r="M443" t="str">
        <f t="shared" si="54"/>
        <v>1</v>
      </c>
      <c r="O443" t="str">
        <f t="shared" si="55"/>
        <v>1 </v>
      </c>
      <c r="P443">
        <v>14.8</v>
      </c>
      <c r="Q443" t="s">
        <v>25</v>
      </c>
    </row>
    <row r="444" spans="1:17" ht="12.75">
      <c r="A444" t="s">
        <v>17</v>
      </c>
      <c r="B444" t="s">
        <v>18</v>
      </c>
      <c r="C444" t="s">
        <v>879</v>
      </c>
      <c r="D444" t="str">
        <f>CONCATENATE("0130003622","")</f>
        <v>0130003622</v>
      </c>
      <c r="E444" t="str">
        <f>CONCATENATE("0060320000370       ","")</f>
        <v>0060320000370       </v>
      </c>
      <c r="F444" t="str">
        <f>CONCATENATE("605392352","")</f>
        <v>605392352</v>
      </c>
      <c r="G444" t="s">
        <v>956</v>
      </c>
      <c r="H444" t="s">
        <v>966</v>
      </c>
      <c r="I444" t="s">
        <v>958</v>
      </c>
      <c r="J444" t="str">
        <f t="shared" si="53"/>
        <v>080602</v>
      </c>
      <c r="K444" t="s">
        <v>23</v>
      </c>
      <c r="L444" t="s">
        <v>24</v>
      </c>
      <c r="M444" t="str">
        <f t="shared" si="54"/>
        <v>1</v>
      </c>
      <c r="O444" t="str">
        <f t="shared" si="55"/>
        <v>1 </v>
      </c>
      <c r="P444">
        <v>12.75</v>
      </c>
      <c r="Q444" t="s">
        <v>25</v>
      </c>
    </row>
    <row r="445" spans="1:17" ht="12.75">
      <c r="A445" t="s">
        <v>17</v>
      </c>
      <c r="B445" t="s">
        <v>18</v>
      </c>
      <c r="C445" t="s">
        <v>879</v>
      </c>
      <c r="D445" t="str">
        <f>CONCATENATE("0130021519","")</f>
        <v>0130021519</v>
      </c>
      <c r="E445" t="str">
        <f>CONCATENATE("0060320000490       ","")</f>
        <v>0060320000490       </v>
      </c>
      <c r="F445" t="str">
        <f>CONCATENATE("2150638","")</f>
        <v>2150638</v>
      </c>
      <c r="G445" t="s">
        <v>956</v>
      </c>
      <c r="H445" t="s">
        <v>967</v>
      </c>
      <c r="I445" t="s">
        <v>962</v>
      </c>
      <c r="J445" t="str">
        <f t="shared" si="53"/>
        <v>080602</v>
      </c>
      <c r="K445" t="s">
        <v>23</v>
      </c>
      <c r="L445" t="s">
        <v>24</v>
      </c>
      <c r="M445" t="str">
        <f t="shared" si="54"/>
        <v>1</v>
      </c>
      <c r="O445" t="str">
        <f t="shared" si="55"/>
        <v>1 </v>
      </c>
      <c r="P445">
        <v>13.95</v>
      </c>
      <c r="Q445" t="s">
        <v>25</v>
      </c>
    </row>
    <row r="446" spans="1:17" ht="12.75">
      <c r="A446" t="s">
        <v>17</v>
      </c>
      <c r="B446" t="s">
        <v>18</v>
      </c>
      <c r="C446" t="s">
        <v>879</v>
      </c>
      <c r="D446" t="str">
        <f>CONCATENATE("0130003630","")</f>
        <v>0130003630</v>
      </c>
      <c r="E446" t="str">
        <f>CONCATENATE("0060320000510       ","")</f>
        <v>0060320000510       </v>
      </c>
      <c r="F446" t="str">
        <f>CONCATENATE("605118747","")</f>
        <v>605118747</v>
      </c>
      <c r="G446" t="s">
        <v>956</v>
      </c>
      <c r="H446" t="s">
        <v>968</v>
      </c>
      <c r="I446" t="s">
        <v>958</v>
      </c>
      <c r="J446" t="str">
        <f t="shared" si="53"/>
        <v>080602</v>
      </c>
      <c r="K446" t="s">
        <v>23</v>
      </c>
      <c r="L446" t="s">
        <v>24</v>
      </c>
      <c r="M446" t="str">
        <f t="shared" si="54"/>
        <v>1</v>
      </c>
      <c r="O446" t="str">
        <f t="shared" si="55"/>
        <v>1 </v>
      </c>
      <c r="P446">
        <v>26.75</v>
      </c>
      <c r="Q446" t="s">
        <v>25</v>
      </c>
    </row>
    <row r="447" spans="1:17" ht="12.75">
      <c r="A447" t="s">
        <v>17</v>
      </c>
      <c r="B447" t="s">
        <v>18</v>
      </c>
      <c r="C447" t="s">
        <v>879</v>
      </c>
      <c r="D447" t="str">
        <f>CONCATENATE("0130009814","")</f>
        <v>0130009814</v>
      </c>
      <c r="E447" t="str">
        <f>CONCATENATE("0060320001065       ","")</f>
        <v>0060320001065       </v>
      </c>
      <c r="F447" t="str">
        <f>CONCATENATE("605393465","")</f>
        <v>605393465</v>
      </c>
      <c r="G447" t="s">
        <v>956</v>
      </c>
      <c r="H447" t="s">
        <v>969</v>
      </c>
      <c r="I447" t="s">
        <v>970</v>
      </c>
      <c r="J447" t="str">
        <f t="shared" si="53"/>
        <v>080602</v>
      </c>
      <c r="K447" t="s">
        <v>23</v>
      </c>
      <c r="L447" t="s">
        <v>24</v>
      </c>
      <c r="M447" t="str">
        <f t="shared" si="54"/>
        <v>1</v>
      </c>
      <c r="O447" t="str">
        <f t="shared" si="55"/>
        <v>1 </v>
      </c>
      <c r="P447">
        <v>26.65</v>
      </c>
      <c r="Q447" t="s">
        <v>25</v>
      </c>
    </row>
    <row r="448" spans="1:17" ht="12.75">
      <c r="A448" t="s">
        <v>17</v>
      </c>
      <c r="B448" t="s">
        <v>18</v>
      </c>
      <c r="C448" t="s">
        <v>879</v>
      </c>
      <c r="D448" t="str">
        <f>CONCATENATE("0130003647","")</f>
        <v>0130003647</v>
      </c>
      <c r="E448" t="str">
        <f>CONCATENATE("0060321000025       ","")</f>
        <v>0060321000025       </v>
      </c>
      <c r="F448" t="str">
        <f>CONCATENATE("605120037","")</f>
        <v>605120037</v>
      </c>
      <c r="G448" t="s">
        <v>956</v>
      </c>
      <c r="H448" t="s">
        <v>971</v>
      </c>
      <c r="I448" t="s">
        <v>972</v>
      </c>
      <c r="J448" t="str">
        <f t="shared" si="53"/>
        <v>080602</v>
      </c>
      <c r="K448" t="s">
        <v>23</v>
      </c>
      <c r="L448" t="s">
        <v>24</v>
      </c>
      <c r="M448" t="str">
        <f t="shared" si="54"/>
        <v>1</v>
      </c>
      <c r="O448" t="str">
        <f t="shared" si="55"/>
        <v>1 </v>
      </c>
      <c r="P448">
        <v>93.45</v>
      </c>
      <c r="Q448" t="s">
        <v>25</v>
      </c>
    </row>
    <row r="449" spans="1:17" ht="12.75">
      <c r="A449" t="s">
        <v>17</v>
      </c>
      <c r="B449" t="s">
        <v>18</v>
      </c>
      <c r="C449" t="s">
        <v>879</v>
      </c>
      <c r="D449" t="str">
        <f>CONCATENATE("0130007516","")</f>
        <v>0130007516</v>
      </c>
      <c r="E449" t="str">
        <f>CONCATENATE("0060321000540       ","")</f>
        <v>0060321000540       </v>
      </c>
      <c r="F449" t="str">
        <f>CONCATENATE("605397210","")</f>
        <v>605397210</v>
      </c>
      <c r="G449" t="s">
        <v>956</v>
      </c>
      <c r="H449" t="s">
        <v>973</v>
      </c>
      <c r="I449" t="s">
        <v>974</v>
      </c>
      <c r="J449" t="str">
        <f t="shared" si="53"/>
        <v>080602</v>
      </c>
      <c r="K449" t="s">
        <v>23</v>
      </c>
      <c r="L449" t="s">
        <v>24</v>
      </c>
      <c r="M449" t="str">
        <f t="shared" si="54"/>
        <v>1</v>
      </c>
      <c r="O449" t="str">
        <f>CONCATENATE("2 ","")</f>
        <v>2 </v>
      </c>
      <c r="P449">
        <v>16</v>
      </c>
      <c r="Q449" t="s">
        <v>25</v>
      </c>
    </row>
    <row r="450" spans="1:17" ht="12.75">
      <c r="A450" t="s">
        <v>17</v>
      </c>
      <c r="B450" t="s">
        <v>18</v>
      </c>
      <c r="C450" t="s">
        <v>127</v>
      </c>
      <c r="D450" t="str">
        <f>CONCATENATE("0130003680","")</f>
        <v>0130003680</v>
      </c>
      <c r="E450" t="str">
        <f>CONCATENATE("0060501000260       ","")</f>
        <v>0060501000260       </v>
      </c>
      <c r="F450" t="str">
        <f>CONCATENATE("112754","")</f>
        <v>112754</v>
      </c>
      <c r="G450" t="s">
        <v>975</v>
      </c>
      <c r="H450" t="s">
        <v>976</v>
      </c>
      <c r="I450" t="s">
        <v>977</v>
      </c>
      <c r="J450" t="str">
        <f aca="true" t="shared" si="56" ref="J450:J476">CONCATENATE("080605","")</f>
        <v>080605</v>
      </c>
      <c r="K450" t="s">
        <v>23</v>
      </c>
      <c r="L450" t="s">
        <v>24</v>
      </c>
      <c r="M450" t="str">
        <f>CONCATENATE("3","")</f>
        <v>3</v>
      </c>
      <c r="O450" t="str">
        <f aca="true" t="shared" si="57" ref="O450:O474">CONCATENATE("1 ","")</f>
        <v>1 </v>
      </c>
      <c r="P450">
        <v>367.3</v>
      </c>
      <c r="Q450" t="s">
        <v>124</v>
      </c>
    </row>
    <row r="451" spans="1:17" ht="12.75">
      <c r="A451" t="s">
        <v>17</v>
      </c>
      <c r="B451" t="s">
        <v>18</v>
      </c>
      <c r="C451" t="s">
        <v>127</v>
      </c>
      <c r="D451" t="str">
        <f>CONCATENATE("0130016978","")</f>
        <v>0130016978</v>
      </c>
      <c r="E451" t="str">
        <f>CONCATENATE("0060501001300       ","")</f>
        <v>0060501001300       </v>
      </c>
      <c r="F451" t="str">
        <f>CONCATENATE("605752254","")</f>
        <v>605752254</v>
      </c>
      <c r="G451" t="s">
        <v>975</v>
      </c>
      <c r="H451" t="s">
        <v>978</v>
      </c>
      <c r="I451" t="s">
        <v>979</v>
      </c>
      <c r="J451" t="str">
        <f t="shared" si="56"/>
        <v>080605</v>
      </c>
      <c r="K451" t="s">
        <v>23</v>
      </c>
      <c r="L451" t="s">
        <v>24</v>
      </c>
      <c r="M451" t="str">
        <f aca="true" t="shared" si="58" ref="M451:M482">CONCATENATE("1","")</f>
        <v>1</v>
      </c>
      <c r="O451" t="str">
        <f t="shared" si="57"/>
        <v>1 </v>
      </c>
      <c r="P451">
        <v>49.3</v>
      </c>
      <c r="Q451" t="s">
        <v>25</v>
      </c>
    </row>
    <row r="452" spans="1:17" ht="12.75">
      <c r="A452" t="s">
        <v>17</v>
      </c>
      <c r="B452" t="s">
        <v>18</v>
      </c>
      <c r="C452" t="s">
        <v>127</v>
      </c>
      <c r="D452" t="str">
        <f>CONCATENATE("0130016326","")</f>
        <v>0130016326</v>
      </c>
      <c r="E452" t="str">
        <f>CONCATENATE("0060501001324       ","")</f>
        <v>0060501001324       </v>
      </c>
      <c r="F452" t="str">
        <f>CONCATENATE("605394561","")</f>
        <v>605394561</v>
      </c>
      <c r="G452" t="s">
        <v>975</v>
      </c>
      <c r="H452" t="s">
        <v>980</v>
      </c>
      <c r="I452" t="s">
        <v>981</v>
      </c>
      <c r="J452" t="str">
        <f t="shared" si="56"/>
        <v>080605</v>
      </c>
      <c r="K452" t="s">
        <v>23</v>
      </c>
      <c r="L452" t="s">
        <v>24</v>
      </c>
      <c r="M452" t="str">
        <f t="shared" si="58"/>
        <v>1</v>
      </c>
      <c r="O452" t="str">
        <f t="shared" si="57"/>
        <v>1 </v>
      </c>
      <c r="P452">
        <v>87.9</v>
      </c>
      <c r="Q452" t="s">
        <v>25</v>
      </c>
    </row>
    <row r="453" spans="1:17" ht="12.75">
      <c r="A453" t="s">
        <v>17</v>
      </c>
      <c r="B453" t="s">
        <v>18</v>
      </c>
      <c r="C453" t="s">
        <v>127</v>
      </c>
      <c r="D453" t="str">
        <f>CONCATENATE("0130003741","")</f>
        <v>0130003741</v>
      </c>
      <c r="E453" t="str">
        <f>CONCATENATE("0060501001730       ","")</f>
        <v>0060501001730       </v>
      </c>
      <c r="F453" t="str">
        <f>CONCATENATE("4008364","")</f>
        <v>4008364</v>
      </c>
      <c r="G453" t="s">
        <v>975</v>
      </c>
      <c r="H453" t="s">
        <v>982</v>
      </c>
      <c r="I453" t="s">
        <v>888</v>
      </c>
      <c r="J453" t="str">
        <f t="shared" si="56"/>
        <v>080605</v>
      </c>
      <c r="K453" t="s">
        <v>23</v>
      </c>
      <c r="L453" t="s">
        <v>24</v>
      </c>
      <c r="M453" t="str">
        <f t="shared" si="58"/>
        <v>1</v>
      </c>
      <c r="O453" t="str">
        <f t="shared" si="57"/>
        <v>1 </v>
      </c>
      <c r="P453">
        <v>21.8</v>
      </c>
      <c r="Q453" t="s">
        <v>25</v>
      </c>
    </row>
    <row r="454" spans="1:17" ht="12.75">
      <c r="A454" t="s">
        <v>17</v>
      </c>
      <c r="B454" t="s">
        <v>18</v>
      </c>
      <c r="C454" t="s">
        <v>127</v>
      </c>
      <c r="D454" t="str">
        <f>CONCATENATE("0130003744","")</f>
        <v>0130003744</v>
      </c>
      <c r="E454" t="str">
        <f>CONCATENATE("0060501001830       ","")</f>
        <v>0060501001830       </v>
      </c>
      <c r="F454" t="str">
        <f>CONCATENATE("4026645","")</f>
        <v>4026645</v>
      </c>
      <c r="G454" t="s">
        <v>975</v>
      </c>
      <c r="H454" t="s">
        <v>983</v>
      </c>
      <c r="I454" t="s">
        <v>984</v>
      </c>
      <c r="J454" t="str">
        <f t="shared" si="56"/>
        <v>080605</v>
      </c>
      <c r="K454" t="s">
        <v>23</v>
      </c>
      <c r="L454" t="s">
        <v>24</v>
      </c>
      <c r="M454" t="str">
        <f t="shared" si="58"/>
        <v>1</v>
      </c>
      <c r="O454" t="str">
        <f t="shared" si="57"/>
        <v>1 </v>
      </c>
      <c r="P454">
        <v>99.4</v>
      </c>
      <c r="Q454" t="s">
        <v>25</v>
      </c>
    </row>
    <row r="455" spans="1:17" ht="12.75">
      <c r="A455" t="s">
        <v>17</v>
      </c>
      <c r="B455" t="s">
        <v>18</v>
      </c>
      <c r="C455" t="s">
        <v>127</v>
      </c>
      <c r="D455" t="str">
        <f>CONCATENATE("0130014090","")</f>
        <v>0130014090</v>
      </c>
      <c r="E455" t="str">
        <f>CONCATENATE("0060501001845       ","")</f>
        <v>0060501001845       </v>
      </c>
      <c r="F455" t="str">
        <f>CONCATENATE("606665487","")</f>
        <v>606665487</v>
      </c>
      <c r="G455" t="s">
        <v>975</v>
      </c>
      <c r="H455" t="s">
        <v>985</v>
      </c>
      <c r="I455" t="s">
        <v>892</v>
      </c>
      <c r="J455" t="str">
        <f t="shared" si="56"/>
        <v>080605</v>
      </c>
      <c r="K455" t="s">
        <v>23</v>
      </c>
      <c r="L455" t="s">
        <v>24</v>
      </c>
      <c r="M455" t="str">
        <f t="shared" si="58"/>
        <v>1</v>
      </c>
      <c r="O455" t="str">
        <f t="shared" si="57"/>
        <v>1 </v>
      </c>
      <c r="P455">
        <v>19.25</v>
      </c>
      <c r="Q455" t="s">
        <v>25</v>
      </c>
    </row>
    <row r="456" spans="1:17" ht="12.75">
      <c r="A456" t="s">
        <v>17</v>
      </c>
      <c r="B456" t="s">
        <v>18</v>
      </c>
      <c r="C456" t="s">
        <v>127</v>
      </c>
      <c r="D456" t="str">
        <f>CONCATENATE("0130021084","")</f>
        <v>0130021084</v>
      </c>
      <c r="E456" t="str">
        <f>CONCATENATE("0060501002000       ","")</f>
        <v>0060501002000       </v>
      </c>
      <c r="F456" t="str">
        <f>CONCATENATE("1860243","")</f>
        <v>1860243</v>
      </c>
      <c r="G456" t="s">
        <v>975</v>
      </c>
      <c r="H456" t="s">
        <v>986</v>
      </c>
      <c r="I456" t="s">
        <v>987</v>
      </c>
      <c r="J456" t="str">
        <f t="shared" si="56"/>
        <v>080605</v>
      </c>
      <c r="K456" t="s">
        <v>23</v>
      </c>
      <c r="L456" t="s">
        <v>24</v>
      </c>
      <c r="M456" t="str">
        <f t="shared" si="58"/>
        <v>1</v>
      </c>
      <c r="O456" t="str">
        <f t="shared" si="57"/>
        <v>1 </v>
      </c>
      <c r="P456">
        <v>34.45</v>
      </c>
      <c r="Q456" t="s">
        <v>25</v>
      </c>
    </row>
    <row r="457" spans="1:17" ht="12.75">
      <c r="A457" t="s">
        <v>17</v>
      </c>
      <c r="B457" t="s">
        <v>18</v>
      </c>
      <c r="C457" t="s">
        <v>127</v>
      </c>
      <c r="D457" t="str">
        <f>CONCATENATE("0130014984","")</f>
        <v>0130014984</v>
      </c>
      <c r="E457" t="str">
        <f>CONCATENATE("0060501002249       ","")</f>
        <v>0060501002249       </v>
      </c>
      <c r="F457" t="str">
        <f>CONCATENATE("606813443","")</f>
        <v>606813443</v>
      </c>
      <c r="G457" t="s">
        <v>988</v>
      </c>
      <c r="H457" t="s">
        <v>989</v>
      </c>
      <c r="I457" t="s">
        <v>990</v>
      </c>
      <c r="J457" t="str">
        <f t="shared" si="56"/>
        <v>080605</v>
      </c>
      <c r="K457" t="s">
        <v>23</v>
      </c>
      <c r="L457" t="s">
        <v>24</v>
      </c>
      <c r="M457" t="str">
        <f t="shared" si="58"/>
        <v>1</v>
      </c>
      <c r="O457" t="str">
        <f t="shared" si="57"/>
        <v>1 </v>
      </c>
      <c r="P457">
        <v>29.15</v>
      </c>
      <c r="Q457" t="s">
        <v>25</v>
      </c>
    </row>
    <row r="458" spans="1:17" ht="12.75">
      <c r="A458" t="s">
        <v>17</v>
      </c>
      <c r="B458" t="s">
        <v>18</v>
      </c>
      <c r="C458" t="s">
        <v>127</v>
      </c>
      <c r="D458" t="str">
        <f>CONCATENATE("0130016309","")</f>
        <v>0130016309</v>
      </c>
      <c r="E458" t="str">
        <f>CONCATENATE("0060501002255       ","")</f>
        <v>0060501002255       </v>
      </c>
      <c r="F458" t="str">
        <f>CONCATENATE("607303484","")</f>
        <v>607303484</v>
      </c>
      <c r="G458" t="s">
        <v>975</v>
      </c>
      <c r="H458" t="s">
        <v>991</v>
      </c>
      <c r="I458" t="s">
        <v>992</v>
      </c>
      <c r="J458" t="str">
        <f t="shared" si="56"/>
        <v>080605</v>
      </c>
      <c r="K458" t="s">
        <v>23</v>
      </c>
      <c r="L458" t="s">
        <v>24</v>
      </c>
      <c r="M458" t="str">
        <f t="shared" si="58"/>
        <v>1</v>
      </c>
      <c r="O458" t="str">
        <f t="shared" si="57"/>
        <v>1 </v>
      </c>
      <c r="P458">
        <v>20.45</v>
      </c>
      <c r="Q458" t="s">
        <v>25</v>
      </c>
    </row>
    <row r="459" spans="1:17" ht="12.75">
      <c r="A459" t="s">
        <v>17</v>
      </c>
      <c r="B459" t="s">
        <v>18</v>
      </c>
      <c r="C459" t="s">
        <v>127</v>
      </c>
      <c r="D459" t="str">
        <f>CONCATENATE("0130003761","")</f>
        <v>0130003761</v>
      </c>
      <c r="E459" t="str">
        <f>CONCATENATE("0060501002560       ","")</f>
        <v>0060501002560       </v>
      </c>
      <c r="F459" t="str">
        <f>CONCATENATE("605119248","")</f>
        <v>605119248</v>
      </c>
      <c r="G459" t="s">
        <v>975</v>
      </c>
      <c r="H459" t="s">
        <v>993</v>
      </c>
      <c r="I459" t="s">
        <v>994</v>
      </c>
      <c r="J459" t="str">
        <f t="shared" si="56"/>
        <v>080605</v>
      </c>
      <c r="K459" t="s">
        <v>23</v>
      </c>
      <c r="L459" t="s">
        <v>24</v>
      </c>
      <c r="M459" t="str">
        <f t="shared" si="58"/>
        <v>1</v>
      </c>
      <c r="O459" t="str">
        <f t="shared" si="57"/>
        <v>1 </v>
      </c>
      <c r="P459">
        <v>24.15</v>
      </c>
      <c r="Q459" t="s">
        <v>25</v>
      </c>
    </row>
    <row r="460" spans="1:17" ht="12.75">
      <c r="A460" t="s">
        <v>17</v>
      </c>
      <c r="B460" t="s">
        <v>18</v>
      </c>
      <c r="C460" t="s">
        <v>127</v>
      </c>
      <c r="D460" t="str">
        <f>CONCATENATE("0130012980","")</f>
        <v>0130012980</v>
      </c>
      <c r="E460" t="str">
        <f>CONCATENATE("0060502000345       ","")</f>
        <v>0060502000345       </v>
      </c>
      <c r="F460" t="str">
        <f>CONCATENATE("606598730","")</f>
        <v>606598730</v>
      </c>
      <c r="G460" t="s">
        <v>988</v>
      </c>
      <c r="H460" t="s">
        <v>995</v>
      </c>
      <c r="I460" t="s">
        <v>996</v>
      </c>
      <c r="J460" t="str">
        <f t="shared" si="56"/>
        <v>080605</v>
      </c>
      <c r="K460" t="s">
        <v>23</v>
      </c>
      <c r="L460" t="s">
        <v>24</v>
      </c>
      <c r="M460" t="str">
        <f t="shared" si="58"/>
        <v>1</v>
      </c>
      <c r="O460" t="str">
        <f t="shared" si="57"/>
        <v>1 </v>
      </c>
      <c r="P460">
        <v>48.3</v>
      </c>
      <c r="Q460" t="s">
        <v>25</v>
      </c>
    </row>
    <row r="461" spans="1:17" ht="12.75">
      <c r="A461" t="s">
        <v>17</v>
      </c>
      <c r="B461" t="s">
        <v>18</v>
      </c>
      <c r="C461" t="s">
        <v>127</v>
      </c>
      <c r="D461" t="str">
        <f>CONCATENATE("0130009079","")</f>
        <v>0130009079</v>
      </c>
      <c r="E461" t="str">
        <f>CONCATENATE("0060502000645       ","")</f>
        <v>0060502000645       </v>
      </c>
      <c r="F461" t="str">
        <f>CONCATENATE("07293361","")</f>
        <v>07293361</v>
      </c>
      <c r="G461" t="s">
        <v>988</v>
      </c>
      <c r="H461" t="s">
        <v>997</v>
      </c>
      <c r="I461" t="s">
        <v>998</v>
      </c>
      <c r="J461" t="str">
        <f t="shared" si="56"/>
        <v>080605</v>
      </c>
      <c r="K461" t="s">
        <v>23</v>
      </c>
      <c r="L461" t="s">
        <v>24</v>
      </c>
      <c r="M461" t="str">
        <f t="shared" si="58"/>
        <v>1</v>
      </c>
      <c r="O461" t="str">
        <f t="shared" si="57"/>
        <v>1 </v>
      </c>
      <c r="P461">
        <v>125.15</v>
      </c>
      <c r="Q461" t="s">
        <v>25</v>
      </c>
    </row>
    <row r="462" spans="1:17" ht="12.75">
      <c r="A462" t="s">
        <v>17</v>
      </c>
      <c r="B462" t="s">
        <v>18</v>
      </c>
      <c r="C462" t="s">
        <v>127</v>
      </c>
      <c r="D462" t="str">
        <f>CONCATENATE("0040030346","")</f>
        <v>0040030346</v>
      </c>
      <c r="E462" t="str">
        <f>CONCATENATE("0060502000755       ","")</f>
        <v>0060502000755       </v>
      </c>
      <c r="F462" t="str">
        <f>CONCATENATE("2182714","")</f>
        <v>2182714</v>
      </c>
      <c r="G462" t="s">
        <v>988</v>
      </c>
      <c r="H462" t="s">
        <v>999</v>
      </c>
      <c r="I462" t="s">
        <v>1000</v>
      </c>
      <c r="J462" t="str">
        <f t="shared" si="56"/>
        <v>080605</v>
      </c>
      <c r="K462" t="s">
        <v>23</v>
      </c>
      <c r="L462" t="s">
        <v>24</v>
      </c>
      <c r="M462" t="str">
        <f t="shared" si="58"/>
        <v>1</v>
      </c>
      <c r="O462" t="str">
        <f t="shared" si="57"/>
        <v>1 </v>
      </c>
      <c r="P462">
        <v>22.2</v>
      </c>
      <c r="Q462" t="s">
        <v>25</v>
      </c>
    </row>
    <row r="463" spans="1:17" ht="12.75">
      <c r="A463" t="s">
        <v>17</v>
      </c>
      <c r="B463" t="s">
        <v>18</v>
      </c>
      <c r="C463" t="s">
        <v>127</v>
      </c>
      <c r="D463" t="str">
        <f>CONCATENATE("0130003788","")</f>
        <v>0130003788</v>
      </c>
      <c r="E463" t="str">
        <f>CONCATENATE("0060502000810       ","")</f>
        <v>0060502000810       </v>
      </c>
      <c r="F463" t="str">
        <f>CONCATENATE("605115618","")</f>
        <v>605115618</v>
      </c>
      <c r="G463" t="s">
        <v>988</v>
      </c>
      <c r="H463" t="s">
        <v>1001</v>
      </c>
      <c r="I463" t="s">
        <v>470</v>
      </c>
      <c r="J463" t="str">
        <f t="shared" si="56"/>
        <v>080605</v>
      </c>
      <c r="K463" t="s">
        <v>23</v>
      </c>
      <c r="L463" t="s">
        <v>24</v>
      </c>
      <c r="M463" t="str">
        <f t="shared" si="58"/>
        <v>1</v>
      </c>
      <c r="O463" t="str">
        <f t="shared" si="57"/>
        <v>1 </v>
      </c>
      <c r="P463">
        <v>379.8</v>
      </c>
      <c r="Q463" t="s">
        <v>25</v>
      </c>
    </row>
    <row r="464" spans="1:17" ht="12.75">
      <c r="A464" t="s">
        <v>17</v>
      </c>
      <c r="B464" t="s">
        <v>18</v>
      </c>
      <c r="C464" t="s">
        <v>127</v>
      </c>
      <c r="D464" t="str">
        <f>CONCATENATE("0130016867","")</f>
        <v>0130016867</v>
      </c>
      <c r="E464" t="str">
        <f>CONCATENATE("0060503000046       ","")</f>
        <v>0060503000046       </v>
      </c>
      <c r="F464" t="str">
        <f>CONCATENATE("605625050","")</f>
        <v>605625050</v>
      </c>
      <c r="G464" t="s">
        <v>1002</v>
      </c>
      <c r="H464" t="s">
        <v>1003</v>
      </c>
      <c r="I464" t="s">
        <v>1004</v>
      </c>
      <c r="J464" t="str">
        <f t="shared" si="56"/>
        <v>080605</v>
      </c>
      <c r="K464" t="s">
        <v>23</v>
      </c>
      <c r="L464" t="s">
        <v>24</v>
      </c>
      <c r="M464" t="str">
        <f t="shared" si="58"/>
        <v>1</v>
      </c>
      <c r="O464" t="str">
        <f t="shared" si="57"/>
        <v>1 </v>
      </c>
      <c r="P464">
        <v>21.7</v>
      </c>
      <c r="Q464" t="s">
        <v>25</v>
      </c>
    </row>
    <row r="465" spans="1:17" ht="12.75">
      <c r="A465" t="s">
        <v>17</v>
      </c>
      <c r="B465" t="s">
        <v>18</v>
      </c>
      <c r="C465" t="s">
        <v>127</v>
      </c>
      <c r="D465" t="str">
        <f>CONCATENATE("0130011857","")</f>
        <v>0130011857</v>
      </c>
      <c r="E465" t="str">
        <f>CONCATENATE("0060503000095       ","")</f>
        <v>0060503000095       </v>
      </c>
      <c r="F465" t="str">
        <f>CONCATENATE("00409574656","")</f>
        <v>00409574656</v>
      </c>
      <c r="G465" t="s">
        <v>1002</v>
      </c>
      <c r="H465" t="s">
        <v>1005</v>
      </c>
      <c r="I465" t="s">
        <v>1006</v>
      </c>
      <c r="J465" t="str">
        <f t="shared" si="56"/>
        <v>080605</v>
      </c>
      <c r="K465" t="s">
        <v>23</v>
      </c>
      <c r="L465" t="s">
        <v>24</v>
      </c>
      <c r="M465" t="str">
        <f t="shared" si="58"/>
        <v>1</v>
      </c>
      <c r="O465" t="str">
        <f t="shared" si="57"/>
        <v>1 </v>
      </c>
      <c r="P465">
        <v>23.85</v>
      </c>
      <c r="Q465" t="s">
        <v>25</v>
      </c>
    </row>
    <row r="466" spans="1:17" ht="12.75">
      <c r="A466" t="s">
        <v>17</v>
      </c>
      <c r="B466" t="s">
        <v>18</v>
      </c>
      <c r="C466" t="s">
        <v>127</v>
      </c>
      <c r="D466" t="str">
        <f>CONCATENATE("0130003837","")</f>
        <v>0130003837</v>
      </c>
      <c r="E466" t="str">
        <f>CONCATENATE("0060503000120       ","")</f>
        <v>0060503000120       </v>
      </c>
      <c r="F466" t="str">
        <f>CONCATENATE("01269009","")</f>
        <v>01269009</v>
      </c>
      <c r="G466" t="s">
        <v>1002</v>
      </c>
      <c r="H466" t="s">
        <v>1007</v>
      </c>
      <c r="I466" t="s">
        <v>911</v>
      </c>
      <c r="J466" t="str">
        <f t="shared" si="56"/>
        <v>080605</v>
      </c>
      <c r="K466" t="s">
        <v>23</v>
      </c>
      <c r="L466" t="s">
        <v>24</v>
      </c>
      <c r="M466" t="str">
        <f t="shared" si="58"/>
        <v>1</v>
      </c>
      <c r="O466" t="str">
        <f t="shared" si="57"/>
        <v>1 </v>
      </c>
      <c r="P466">
        <v>106.3</v>
      </c>
      <c r="Q466" t="s">
        <v>25</v>
      </c>
    </row>
    <row r="467" spans="1:17" ht="12.75">
      <c r="A467" t="s">
        <v>17</v>
      </c>
      <c r="B467" t="s">
        <v>18</v>
      </c>
      <c r="C467" t="s">
        <v>127</v>
      </c>
      <c r="D467" t="str">
        <f>CONCATENATE("0130019626","")</f>
        <v>0130019626</v>
      </c>
      <c r="E467" t="str">
        <f>CONCATENATE("0060503000207       ","")</f>
        <v>0060503000207       </v>
      </c>
      <c r="F467" t="str">
        <f>CONCATENATE("605935496","")</f>
        <v>605935496</v>
      </c>
      <c r="G467" t="s">
        <v>1002</v>
      </c>
      <c r="H467" t="s">
        <v>1008</v>
      </c>
      <c r="I467" t="s">
        <v>1009</v>
      </c>
      <c r="J467" t="str">
        <f t="shared" si="56"/>
        <v>080605</v>
      </c>
      <c r="K467" t="s">
        <v>23</v>
      </c>
      <c r="L467" t="s">
        <v>24</v>
      </c>
      <c r="M467" t="str">
        <f t="shared" si="58"/>
        <v>1</v>
      </c>
      <c r="O467" t="str">
        <f t="shared" si="57"/>
        <v>1 </v>
      </c>
      <c r="P467">
        <v>19.25</v>
      </c>
      <c r="Q467" t="s">
        <v>25</v>
      </c>
    </row>
    <row r="468" spans="1:17" ht="12.75">
      <c r="A468" t="s">
        <v>17</v>
      </c>
      <c r="B468" t="s">
        <v>18</v>
      </c>
      <c r="C468" t="s">
        <v>127</v>
      </c>
      <c r="D468" t="str">
        <f>CONCATENATE("0040026723","")</f>
        <v>0040026723</v>
      </c>
      <c r="E468" t="str">
        <f>CONCATENATE("0060503000245       ","")</f>
        <v>0060503000245       </v>
      </c>
      <c r="F468" t="str">
        <f>CONCATENATE("606803401","")</f>
        <v>606803401</v>
      </c>
      <c r="G468" t="s">
        <v>1002</v>
      </c>
      <c r="H468" t="s">
        <v>1010</v>
      </c>
      <c r="I468" t="s">
        <v>1011</v>
      </c>
      <c r="J468" t="str">
        <f t="shared" si="56"/>
        <v>080605</v>
      </c>
      <c r="K468" t="s">
        <v>23</v>
      </c>
      <c r="L468" t="s">
        <v>24</v>
      </c>
      <c r="M468" t="str">
        <f t="shared" si="58"/>
        <v>1</v>
      </c>
      <c r="O468" t="str">
        <f t="shared" si="57"/>
        <v>1 </v>
      </c>
      <c r="P468">
        <v>39.2</v>
      </c>
      <c r="Q468" t="s">
        <v>25</v>
      </c>
    </row>
    <row r="469" spans="1:17" ht="12.75">
      <c r="A469" t="s">
        <v>17</v>
      </c>
      <c r="B469" t="s">
        <v>18</v>
      </c>
      <c r="C469" t="s">
        <v>127</v>
      </c>
      <c r="D469" t="str">
        <f>CONCATENATE("0130015475","")</f>
        <v>0130015475</v>
      </c>
      <c r="E469" t="str">
        <f>CONCATENATE("0060503000860       ","")</f>
        <v>0060503000860       </v>
      </c>
      <c r="F469" t="str">
        <f>CONCATENATE("605278262","")</f>
        <v>605278262</v>
      </c>
      <c r="G469" t="s">
        <v>1002</v>
      </c>
      <c r="H469" t="s">
        <v>1012</v>
      </c>
      <c r="I469" t="s">
        <v>1013</v>
      </c>
      <c r="J469" t="str">
        <f t="shared" si="56"/>
        <v>080605</v>
      </c>
      <c r="K469" t="s">
        <v>23</v>
      </c>
      <c r="L469" t="s">
        <v>24</v>
      </c>
      <c r="M469" t="str">
        <f t="shared" si="58"/>
        <v>1</v>
      </c>
      <c r="O469" t="str">
        <f t="shared" si="57"/>
        <v>1 </v>
      </c>
      <c r="P469">
        <v>30.95</v>
      </c>
      <c r="Q469" t="s">
        <v>25</v>
      </c>
    </row>
    <row r="470" spans="1:17" ht="12.75">
      <c r="A470" t="s">
        <v>17</v>
      </c>
      <c r="B470" t="s">
        <v>18</v>
      </c>
      <c r="C470" t="s">
        <v>127</v>
      </c>
      <c r="D470" t="str">
        <f>CONCATENATE("0130021108","")</f>
        <v>0130021108</v>
      </c>
      <c r="E470" t="str">
        <f>CONCATENATE("0060503001051       ","")</f>
        <v>0060503001051       </v>
      </c>
      <c r="F470" t="str">
        <f>CONCATENATE("1940903","")</f>
        <v>1940903</v>
      </c>
      <c r="G470" t="s">
        <v>1002</v>
      </c>
      <c r="H470" t="s">
        <v>1014</v>
      </c>
      <c r="I470" t="s">
        <v>1015</v>
      </c>
      <c r="J470" t="str">
        <f t="shared" si="56"/>
        <v>080605</v>
      </c>
      <c r="K470" t="s">
        <v>23</v>
      </c>
      <c r="L470" t="s">
        <v>24</v>
      </c>
      <c r="M470" t="str">
        <f t="shared" si="58"/>
        <v>1</v>
      </c>
      <c r="O470" t="str">
        <f t="shared" si="57"/>
        <v>1 </v>
      </c>
      <c r="P470">
        <v>25.9</v>
      </c>
      <c r="Q470" t="s">
        <v>25</v>
      </c>
    </row>
    <row r="471" spans="1:17" ht="12.75">
      <c r="A471" t="s">
        <v>17</v>
      </c>
      <c r="B471" t="s">
        <v>18</v>
      </c>
      <c r="C471" t="s">
        <v>127</v>
      </c>
      <c r="D471" t="str">
        <f>CONCATENATE("0130003911","")</f>
        <v>0130003911</v>
      </c>
      <c r="E471" t="str">
        <f>CONCATENATE("0060503001480       ","")</f>
        <v>0060503001480       </v>
      </c>
      <c r="F471" t="str">
        <f>CONCATENATE("605350712","")</f>
        <v>605350712</v>
      </c>
      <c r="G471" t="s">
        <v>1002</v>
      </c>
      <c r="H471" t="s">
        <v>1016</v>
      </c>
      <c r="I471" t="s">
        <v>1017</v>
      </c>
      <c r="J471" t="str">
        <f t="shared" si="56"/>
        <v>080605</v>
      </c>
      <c r="K471" t="s">
        <v>23</v>
      </c>
      <c r="L471" t="s">
        <v>24</v>
      </c>
      <c r="M471" t="str">
        <f t="shared" si="58"/>
        <v>1</v>
      </c>
      <c r="O471" t="str">
        <f t="shared" si="57"/>
        <v>1 </v>
      </c>
      <c r="P471">
        <v>24.2</v>
      </c>
      <c r="Q471" t="s">
        <v>25</v>
      </c>
    </row>
    <row r="472" spans="1:17" ht="12.75">
      <c r="A472" t="s">
        <v>17</v>
      </c>
      <c r="B472" t="s">
        <v>18</v>
      </c>
      <c r="C472" t="s">
        <v>127</v>
      </c>
      <c r="D472" t="str">
        <f>CONCATENATE("0130003913","")</f>
        <v>0130003913</v>
      </c>
      <c r="E472" t="str">
        <f>CONCATENATE("0060503001530       ","")</f>
        <v>0060503001530       </v>
      </c>
      <c r="F472" t="str">
        <f>CONCATENATE("7441839","")</f>
        <v>7441839</v>
      </c>
      <c r="G472" t="s">
        <v>1002</v>
      </c>
      <c r="H472" t="s">
        <v>1018</v>
      </c>
      <c r="I472" t="s">
        <v>1019</v>
      </c>
      <c r="J472" t="str">
        <f t="shared" si="56"/>
        <v>080605</v>
      </c>
      <c r="K472" t="s">
        <v>23</v>
      </c>
      <c r="L472" t="s">
        <v>24</v>
      </c>
      <c r="M472" t="str">
        <f t="shared" si="58"/>
        <v>1</v>
      </c>
      <c r="O472" t="str">
        <f t="shared" si="57"/>
        <v>1 </v>
      </c>
      <c r="P472">
        <v>28.05</v>
      </c>
      <c r="Q472" t="s">
        <v>25</v>
      </c>
    </row>
    <row r="473" spans="1:17" ht="12.75">
      <c r="A473" t="s">
        <v>17</v>
      </c>
      <c r="B473" t="s">
        <v>18</v>
      </c>
      <c r="C473" t="s">
        <v>127</v>
      </c>
      <c r="D473" t="str">
        <f>CONCATENATE("0130007531","")</f>
        <v>0130007531</v>
      </c>
      <c r="E473" t="str">
        <f>CONCATENATE("0060503001560       ","")</f>
        <v>0060503001560       </v>
      </c>
      <c r="F473" t="str">
        <f>CONCATENATE("605742021","")</f>
        <v>605742021</v>
      </c>
      <c r="G473" t="s">
        <v>1002</v>
      </c>
      <c r="H473" t="s">
        <v>1020</v>
      </c>
      <c r="I473" t="s">
        <v>1021</v>
      </c>
      <c r="J473" t="str">
        <f t="shared" si="56"/>
        <v>080605</v>
      </c>
      <c r="K473" t="s">
        <v>23</v>
      </c>
      <c r="L473" t="s">
        <v>24</v>
      </c>
      <c r="M473" t="str">
        <f t="shared" si="58"/>
        <v>1</v>
      </c>
      <c r="O473" t="str">
        <f t="shared" si="57"/>
        <v>1 </v>
      </c>
      <c r="P473">
        <v>27.85</v>
      </c>
      <c r="Q473" t="s">
        <v>25</v>
      </c>
    </row>
    <row r="474" spans="1:17" ht="12.75">
      <c r="A474" t="s">
        <v>17</v>
      </c>
      <c r="B474" t="s">
        <v>18</v>
      </c>
      <c r="C474" t="s">
        <v>127</v>
      </c>
      <c r="D474" t="str">
        <f>CONCATENATE("0130016085","")</f>
        <v>0130016085</v>
      </c>
      <c r="E474" t="str">
        <f>CONCATENATE("0060503001640       ","")</f>
        <v>0060503001640       </v>
      </c>
      <c r="F474" t="str">
        <f>CONCATENATE("605285867","")</f>
        <v>605285867</v>
      </c>
      <c r="G474" t="s">
        <v>1002</v>
      </c>
      <c r="H474" t="s">
        <v>1022</v>
      </c>
      <c r="I474" t="s">
        <v>1023</v>
      </c>
      <c r="J474" t="str">
        <f t="shared" si="56"/>
        <v>080605</v>
      </c>
      <c r="K474" t="s">
        <v>23</v>
      </c>
      <c r="L474" t="s">
        <v>24</v>
      </c>
      <c r="M474" t="str">
        <f t="shared" si="58"/>
        <v>1</v>
      </c>
      <c r="O474" t="str">
        <f t="shared" si="57"/>
        <v>1 </v>
      </c>
      <c r="P474">
        <v>21.3</v>
      </c>
      <c r="Q474" t="s">
        <v>25</v>
      </c>
    </row>
    <row r="475" spans="1:17" ht="12.75">
      <c r="A475" t="s">
        <v>17</v>
      </c>
      <c r="B475" t="s">
        <v>18</v>
      </c>
      <c r="C475" t="s">
        <v>127</v>
      </c>
      <c r="D475" t="str">
        <f>CONCATENATE("0130003921","")</f>
        <v>0130003921</v>
      </c>
      <c r="E475" t="str">
        <f>CONCATENATE("0060503001745       ","")</f>
        <v>0060503001745       </v>
      </c>
      <c r="F475" t="str">
        <f>CONCATENATE("01100014","")</f>
        <v>01100014</v>
      </c>
      <c r="G475" t="s">
        <v>1002</v>
      </c>
      <c r="H475" t="s">
        <v>1024</v>
      </c>
      <c r="I475" t="s">
        <v>43</v>
      </c>
      <c r="J475" t="str">
        <f t="shared" si="56"/>
        <v>080605</v>
      </c>
      <c r="K475" t="s">
        <v>23</v>
      </c>
      <c r="L475" t="s">
        <v>24</v>
      </c>
      <c r="M475" t="str">
        <f t="shared" si="58"/>
        <v>1</v>
      </c>
      <c r="O475" t="str">
        <f>CONCATENATE("6 ","")</f>
        <v>6 </v>
      </c>
      <c r="P475">
        <v>45.2</v>
      </c>
      <c r="Q475" t="s">
        <v>25</v>
      </c>
    </row>
    <row r="476" spans="1:17" ht="12.75">
      <c r="A476" t="s">
        <v>17</v>
      </c>
      <c r="B476" t="s">
        <v>18</v>
      </c>
      <c r="C476" t="s">
        <v>127</v>
      </c>
      <c r="D476" t="str">
        <f>CONCATENATE("0130020888","")</f>
        <v>0130020888</v>
      </c>
      <c r="E476" t="str">
        <f>CONCATENATE("0060504000065       ","")</f>
        <v>0060504000065       </v>
      </c>
      <c r="F476" t="str">
        <f>CONCATENATE("1760070","")</f>
        <v>1760070</v>
      </c>
      <c r="G476" t="s">
        <v>1025</v>
      </c>
      <c r="H476" t="s">
        <v>1026</v>
      </c>
      <c r="I476" t="s">
        <v>1027</v>
      </c>
      <c r="J476" t="str">
        <f t="shared" si="56"/>
        <v>080605</v>
      </c>
      <c r="K476" t="s">
        <v>23</v>
      </c>
      <c r="L476" t="s">
        <v>24</v>
      </c>
      <c r="M476" t="str">
        <f t="shared" si="58"/>
        <v>1</v>
      </c>
      <c r="O476" t="str">
        <f>CONCATENATE("1 ","")</f>
        <v>1 </v>
      </c>
      <c r="P476">
        <v>11.95</v>
      </c>
      <c r="Q476" t="s">
        <v>25</v>
      </c>
    </row>
    <row r="477" spans="1:17" ht="12.75">
      <c r="A477" t="s">
        <v>17</v>
      </c>
      <c r="B477" t="s">
        <v>18</v>
      </c>
      <c r="C477" t="s">
        <v>879</v>
      </c>
      <c r="D477" t="str">
        <f>CONCATENATE("0130011665","")</f>
        <v>0130011665</v>
      </c>
      <c r="E477" t="str">
        <f>CONCATENATE("0060507000210       ","")</f>
        <v>0060507000210       </v>
      </c>
      <c r="F477" t="str">
        <f>CONCATENATE("605939550","")</f>
        <v>605939550</v>
      </c>
      <c r="G477" t="s">
        <v>1028</v>
      </c>
      <c r="H477" t="s">
        <v>1029</v>
      </c>
      <c r="I477" t="s">
        <v>1030</v>
      </c>
      <c r="J477" t="str">
        <f>CONCATENATE("080602","")</f>
        <v>080602</v>
      </c>
      <c r="K477" t="s">
        <v>23</v>
      </c>
      <c r="L477" t="s">
        <v>24</v>
      </c>
      <c r="M477" t="str">
        <f t="shared" si="58"/>
        <v>1</v>
      </c>
      <c r="O477" t="str">
        <f>CONCATENATE("1 ","")</f>
        <v>1 </v>
      </c>
      <c r="P477">
        <v>52.6</v>
      </c>
      <c r="Q477" t="s">
        <v>25</v>
      </c>
    </row>
    <row r="478" spans="1:17" ht="12.75">
      <c r="A478" t="s">
        <v>17</v>
      </c>
      <c r="B478" t="s">
        <v>18</v>
      </c>
      <c r="C478" t="s">
        <v>127</v>
      </c>
      <c r="D478" t="str">
        <f>CONCATENATE("0130014887","")</f>
        <v>0130014887</v>
      </c>
      <c r="E478" t="str">
        <f>CONCATENATE("0060510000050       ","")</f>
        <v>0060510000050       </v>
      </c>
      <c r="F478" t="str">
        <f>CONCATENATE("606812518","")</f>
        <v>606812518</v>
      </c>
      <c r="G478" t="s">
        <v>1031</v>
      </c>
      <c r="H478" t="s">
        <v>1032</v>
      </c>
      <c r="I478" t="s">
        <v>1033</v>
      </c>
      <c r="J478" t="str">
        <f aca="true" t="shared" si="59" ref="J478:J496">CONCATENATE("080605","")</f>
        <v>080605</v>
      </c>
      <c r="K478" t="s">
        <v>23</v>
      </c>
      <c r="L478" t="s">
        <v>24</v>
      </c>
      <c r="M478" t="str">
        <f t="shared" si="58"/>
        <v>1</v>
      </c>
      <c r="O478" t="str">
        <f>CONCATENATE("1 ","")</f>
        <v>1 </v>
      </c>
      <c r="P478">
        <v>24.5</v>
      </c>
      <c r="Q478" t="s">
        <v>25</v>
      </c>
    </row>
    <row r="479" spans="1:17" ht="12.75">
      <c r="A479" t="s">
        <v>17</v>
      </c>
      <c r="B479" t="s">
        <v>18</v>
      </c>
      <c r="C479" t="s">
        <v>127</v>
      </c>
      <c r="D479" t="str">
        <f>CONCATENATE("0130018448","")</f>
        <v>0130018448</v>
      </c>
      <c r="E479" t="str">
        <f>CONCATENATE("0060515001070       ","")</f>
        <v>0060515001070       </v>
      </c>
      <c r="F479" t="str">
        <f>CONCATENATE("90601896","")</f>
        <v>90601896</v>
      </c>
      <c r="G479" t="s">
        <v>1034</v>
      </c>
      <c r="H479" t="s">
        <v>1035</v>
      </c>
      <c r="I479" t="s">
        <v>1036</v>
      </c>
      <c r="J479" t="str">
        <f t="shared" si="59"/>
        <v>080605</v>
      </c>
      <c r="K479" t="s">
        <v>23</v>
      </c>
      <c r="L479" t="s">
        <v>24</v>
      </c>
      <c r="M479" t="str">
        <f t="shared" si="58"/>
        <v>1</v>
      </c>
      <c r="O479" t="str">
        <f>CONCATENATE("1 ","")</f>
        <v>1 </v>
      </c>
      <c r="P479">
        <v>61.2</v>
      </c>
      <c r="Q479" t="s">
        <v>25</v>
      </c>
    </row>
    <row r="480" spans="1:17" ht="12.75">
      <c r="A480" t="s">
        <v>17</v>
      </c>
      <c r="B480" t="s">
        <v>18</v>
      </c>
      <c r="C480" t="s">
        <v>127</v>
      </c>
      <c r="D480" t="str">
        <f>CONCATENATE("0130018494","")</f>
        <v>0130018494</v>
      </c>
      <c r="E480" t="str">
        <f>CONCATENATE("0060515001140       ","")</f>
        <v>0060515001140       </v>
      </c>
      <c r="F480" t="str">
        <f>CONCATENATE("90601881","")</f>
        <v>90601881</v>
      </c>
      <c r="G480" t="s">
        <v>1034</v>
      </c>
      <c r="H480" t="s">
        <v>1037</v>
      </c>
      <c r="I480" t="s">
        <v>1036</v>
      </c>
      <c r="J480" t="str">
        <f t="shared" si="59"/>
        <v>080605</v>
      </c>
      <c r="K480" t="s">
        <v>23</v>
      </c>
      <c r="L480" t="s">
        <v>24</v>
      </c>
      <c r="M480" t="str">
        <f t="shared" si="58"/>
        <v>1</v>
      </c>
      <c r="O480" t="str">
        <f>CONCATENATE("2 ","")</f>
        <v>2 </v>
      </c>
      <c r="P480">
        <v>28.85</v>
      </c>
      <c r="Q480" t="s">
        <v>25</v>
      </c>
    </row>
    <row r="481" spans="1:17" ht="12.75">
      <c r="A481" t="s">
        <v>17</v>
      </c>
      <c r="B481" t="s">
        <v>18</v>
      </c>
      <c r="C481" t="s">
        <v>127</v>
      </c>
      <c r="D481" t="str">
        <f>CONCATENATE("0130018496","")</f>
        <v>0130018496</v>
      </c>
      <c r="E481" t="str">
        <f>CONCATENATE("0060515002140       ","")</f>
        <v>0060515002140       </v>
      </c>
      <c r="F481" t="str">
        <f>CONCATENATE("90500069","")</f>
        <v>90500069</v>
      </c>
      <c r="G481" t="s">
        <v>1034</v>
      </c>
      <c r="H481" t="s">
        <v>1038</v>
      </c>
      <c r="I481" t="s">
        <v>1036</v>
      </c>
      <c r="J481" t="str">
        <f t="shared" si="59"/>
        <v>080605</v>
      </c>
      <c r="K481" t="s">
        <v>23</v>
      </c>
      <c r="L481" t="s">
        <v>24</v>
      </c>
      <c r="M481" t="str">
        <f t="shared" si="58"/>
        <v>1</v>
      </c>
      <c r="O481" t="str">
        <f>CONCATENATE("1 ","")</f>
        <v>1 </v>
      </c>
      <c r="P481">
        <v>16.65</v>
      </c>
      <c r="Q481" t="s">
        <v>25</v>
      </c>
    </row>
    <row r="482" spans="1:17" ht="12.75">
      <c r="A482" t="s">
        <v>17</v>
      </c>
      <c r="B482" t="s">
        <v>18</v>
      </c>
      <c r="C482" t="s">
        <v>127</v>
      </c>
      <c r="D482" t="str">
        <f>CONCATENATE("0130018446","")</f>
        <v>0130018446</v>
      </c>
      <c r="E482" t="str">
        <f>CONCATENATE("0060515002260       ","")</f>
        <v>0060515002260       </v>
      </c>
      <c r="F482" t="str">
        <f>CONCATENATE("90601882","")</f>
        <v>90601882</v>
      </c>
      <c r="G482" t="s">
        <v>1034</v>
      </c>
      <c r="H482" t="s">
        <v>1039</v>
      </c>
      <c r="I482" t="s">
        <v>1036</v>
      </c>
      <c r="J482" t="str">
        <f t="shared" si="59"/>
        <v>080605</v>
      </c>
      <c r="K482" t="s">
        <v>23</v>
      </c>
      <c r="L482" t="s">
        <v>24</v>
      </c>
      <c r="M482" t="str">
        <f t="shared" si="58"/>
        <v>1</v>
      </c>
      <c r="O482" t="str">
        <f>CONCATENATE("1 ","")</f>
        <v>1 </v>
      </c>
      <c r="P482">
        <v>19.1</v>
      </c>
      <c r="Q482" t="s">
        <v>25</v>
      </c>
    </row>
    <row r="483" spans="1:17" ht="12.75">
      <c r="A483" t="s">
        <v>17</v>
      </c>
      <c r="B483" t="s">
        <v>18</v>
      </c>
      <c r="C483" t="s">
        <v>127</v>
      </c>
      <c r="D483" t="str">
        <f>CONCATENATE("0130018480","")</f>
        <v>0130018480</v>
      </c>
      <c r="E483" t="str">
        <f>CONCATENATE("0060515002450       ","")</f>
        <v>0060515002450       </v>
      </c>
      <c r="F483" t="str">
        <f>CONCATENATE("90500062","")</f>
        <v>90500062</v>
      </c>
      <c r="G483" t="s">
        <v>1034</v>
      </c>
      <c r="H483" t="s">
        <v>1040</v>
      </c>
      <c r="I483" t="s">
        <v>1036</v>
      </c>
      <c r="J483" t="str">
        <f t="shared" si="59"/>
        <v>080605</v>
      </c>
      <c r="K483" t="s">
        <v>23</v>
      </c>
      <c r="L483" t="s">
        <v>24</v>
      </c>
      <c r="M483" t="str">
        <f aca="true" t="shared" si="60" ref="M483:M514">CONCATENATE("1","")</f>
        <v>1</v>
      </c>
      <c r="O483" t="str">
        <f>CONCATENATE("2 ","")</f>
        <v>2 </v>
      </c>
      <c r="P483">
        <v>24.8</v>
      </c>
      <c r="Q483" t="s">
        <v>25</v>
      </c>
    </row>
    <row r="484" spans="1:17" ht="12.75">
      <c r="A484" t="s">
        <v>17</v>
      </c>
      <c r="B484" t="s">
        <v>18</v>
      </c>
      <c r="C484" t="s">
        <v>127</v>
      </c>
      <c r="D484" t="str">
        <f>CONCATENATE("0130018526","")</f>
        <v>0130018526</v>
      </c>
      <c r="E484" t="str">
        <f>CONCATENATE("0060520001180       ","")</f>
        <v>0060520001180       </v>
      </c>
      <c r="F484" t="str">
        <f>CONCATENATE("90601458","")</f>
        <v>90601458</v>
      </c>
      <c r="G484" t="s">
        <v>1041</v>
      </c>
      <c r="H484" t="s">
        <v>1042</v>
      </c>
      <c r="I484" t="s">
        <v>1043</v>
      </c>
      <c r="J484" t="str">
        <f t="shared" si="59"/>
        <v>080605</v>
      </c>
      <c r="K484" t="s">
        <v>23</v>
      </c>
      <c r="L484" t="s">
        <v>24</v>
      </c>
      <c r="M484" t="str">
        <f t="shared" si="60"/>
        <v>1</v>
      </c>
      <c r="O484" t="str">
        <f>CONCATENATE("1 ","")</f>
        <v>1 </v>
      </c>
      <c r="P484">
        <v>14.85</v>
      </c>
      <c r="Q484" t="s">
        <v>25</v>
      </c>
    </row>
    <row r="485" spans="1:17" ht="12.75">
      <c r="A485" t="s">
        <v>17</v>
      </c>
      <c r="B485" t="s">
        <v>18</v>
      </c>
      <c r="C485" t="s">
        <v>127</v>
      </c>
      <c r="D485" t="str">
        <f>CONCATENATE("0130018556","")</f>
        <v>0130018556</v>
      </c>
      <c r="E485" t="str">
        <f>CONCATENATE("0060520001372       ","")</f>
        <v>0060520001372       </v>
      </c>
      <c r="F485" t="str">
        <f>CONCATENATE("90601064","")</f>
        <v>90601064</v>
      </c>
      <c r="G485" t="s">
        <v>1041</v>
      </c>
      <c r="H485" t="s">
        <v>1044</v>
      </c>
      <c r="I485" t="s">
        <v>1043</v>
      </c>
      <c r="J485" t="str">
        <f t="shared" si="59"/>
        <v>080605</v>
      </c>
      <c r="K485" t="s">
        <v>23</v>
      </c>
      <c r="L485" t="s">
        <v>24</v>
      </c>
      <c r="M485" t="str">
        <f t="shared" si="60"/>
        <v>1</v>
      </c>
      <c r="O485" t="str">
        <f>CONCATENATE("3 ","")</f>
        <v>3 </v>
      </c>
      <c r="P485">
        <v>22.65</v>
      </c>
      <c r="Q485" t="s">
        <v>25</v>
      </c>
    </row>
    <row r="486" spans="1:17" ht="12.75">
      <c r="A486" t="s">
        <v>17</v>
      </c>
      <c r="B486" t="s">
        <v>18</v>
      </c>
      <c r="C486" t="s">
        <v>127</v>
      </c>
      <c r="D486" t="str">
        <f>CONCATENATE("0130018533","")</f>
        <v>0130018533</v>
      </c>
      <c r="E486" t="str">
        <f>CONCATENATE("0060520002040       ","")</f>
        <v>0060520002040       </v>
      </c>
      <c r="F486" t="str">
        <f>CONCATENATE("90601790","")</f>
        <v>90601790</v>
      </c>
      <c r="G486" t="s">
        <v>1041</v>
      </c>
      <c r="H486" t="s">
        <v>1045</v>
      </c>
      <c r="I486" t="s">
        <v>1043</v>
      </c>
      <c r="J486" t="str">
        <f t="shared" si="59"/>
        <v>080605</v>
      </c>
      <c r="K486" t="s">
        <v>23</v>
      </c>
      <c r="L486" t="s">
        <v>24</v>
      </c>
      <c r="M486" t="str">
        <f t="shared" si="60"/>
        <v>1</v>
      </c>
      <c r="O486" t="str">
        <f aca="true" t="shared" si="61" ref="O486:O500">CONCATENATE("1 ","")</f>
        <v>1 </v>
      </c>
      <c r="P486">
        <v>12.7</v>
      </c>
      <c r="Q486" t="s">
        <v>25</v>
      </c>
    </row>
    <row r="487" spans="1:17" ht="12.75">
      <c r="A487" t="s">
        <v>17</v>
      </c>
      <c r="B487" t="s">
        <v>18</v>
      </c>
      <c r="C487" t="s">
        <v>127</v>
      </c>
      <c r="D487" t="str">
        <f>CONCATENATE("0130018547","")</f>
        <v>0130018547</v>
      </c>
      <c r="E487" t="str">
        <f>CONCATENATE("0060520002130       ","")</f>
        <v>0060520002130       </v>
      </c>
      <c r="F487" t="str">
        <f>CONCATENATE("90601443","")</f>
        <v>90601443</v>
      </c>
      <c r="G487" t="s">
        <v>1041</v>
      </c>
      <c r="H487" t="s">
        <v>1046</v>
      </c>
      <c r="I487" t="s">
        <v>1043</v>
      </c>
      <c r="J487" t="str">
        <f t="shared" si="59"/>
        <v>080605</v>
      </c>
      <c r="K487" t="s">
        <v>23</v>
      </c>
      <c r="L487" t="s">
        <v>24</v>
      </c>
      <c r="M487" t="str">
        <f t="shared" si="60"/>
        <v>1</v>
      </c>
      <c r="O487" t="str">
        <f t="shared" si="61"/>
        <v>1 </v>
      </c>
      <c r="P487">
        <v>24.75</v>
      </c>
      <c r="Q487" t="s">
        <v>25</v>
      </c>
    </row>
    <row r="488" spans="1:17" ht="12.75">
      <c r="A488" t="s">
        <v>17</v>
      </c>
      <c r="B488" t="s">
        <v>18</v>
      </c>
      <c r="C488" t="s">
        <v>127</v>
      </c>
      <c r="D488" t="str">
        <f>CONCATENATE("0040037053","")</f>
        <v>0040037053</v>
      </c>
      <c r="E488" t="str">
        <f>CONCATENATE("0060525002037       ","")</f>
        <v>0060525002037       </v>
      </c>
      <c r="F488" t="str">
        <f>CONCATENATE("01604028","")</f>
        <v>01604028</v>
      </c>
      <c r="G488" t="s">
        <v>1047</v>
      </c>
      <c r="H488" t="s">
        <v>1048</v>
      </c>
      <c r="I488" t="s">
        <v>1049</v>
      </c>
      <c r="J488" t="str">
        <f t="shared" si="59"/>
        <v>080605</v>
      </c>
      <c r="K488" t="s">
        <v>23</v>
      </c>
      <c r="L488" t="s">
        <v>24</v>
      </c>
      <c r="M488" t="str">
        <f t="shared" si="60"/>
        <v>1</v>
      </c>
      <c r="O488" t="str">
        <f t="shared" si="61"/>
        <v>1 </v>
      </c>
      <c r="P488">
        <v>24</v>
      </c>
      <c r="Q488" t="s">
        <v>25</v>
      </c>
    </row>
    <row r="489" spans="1:17" ht="12.75">
      <c r="A489" t="s">
        <v>17</v>
      </c>
      <c r="B489" t="s">
        <v>18</v>
      </c>
      <c r="C489" t="s">
        <v>127</v>
      </c>
      <c r="D489" t="str">
        <f>CONCATENATE("0130021427","")</f>
        <v>0130021427</v>
      </c>
      <c r="E489" t="str">
        <f>CONCATENATE("0060530002015       ","")</f>
        <v>0060530002015       </v>
      </c>
      <c r="F489" t="str">
        <f>CONCATENATE("1931919","")</f>
        <v>1931919</v>
      </c>
      <c r="G489" t="s">
        <v>1050</v>
      </c>
      <c r="H489" t="s">
        <v>1051</v>
      </c>
      <c r="I489" t="s">
        <v>1052</v>
      </c>
      <c r="J489" t="str">
        <f t="shared" si="59"/>
        <v>080605</v>
      </c>
      <c r="K489" t="s">
        <v>23</v>
      </c>
      <c r="L489" t="s">
        <v>24</v>
      </c>
      <c r="M489" t="str">
        <f t="shared" si="60"/>
        <v>1</v>
      </c>
      <c r="O489" t="str">
        <f t="shared" si="61"/>
        <v>1 </v>
      </c>
      <c r="P489">
        <v>21.5</v>
      </c>
      <c r="Q489" t="s">
        <v>25</v>
      </c>
    </row>
    <row r="490" spans="1:17" ht="12.75">
      <c r="A490" t="s">
        <v>17</v>
      </c>
      <c r="B490" t="s">
        <v>18</v>
      </c>
      <c r="C490" t="s">
        <v>127</v>
      </c>
      <c r="D490" t="str">
        <f>CONCATENATE("0130019307","")</f>
        <v>0130019307</v>
      </c>
      <c r="E490" t="str">
        <f>CONCATENATE("0060530002060       ","")</f>
        <v>0060530002060       </v>
      </c>
      <c r="F490" t="str">
        <f>CONCATENATE("90500661","")</f>
        <v>90500661</v>
      </c>
      <c r="G490" t="s">
        <v>1050</v>
      </c>
      <c r="H490" t="s">
        <v>1053</v>
      </c>
      <c r="I490" t="s">
        <v>1054</v>
      </c>
      <c r="J490" t="str">
        <f t="shared" si="59"/>
        <v>080605</v>
      </c>
      <c r="K490" t="s">
        <v>23</v>
      </c>
      <c r="L490" t="s">
        <v>24</v>
      </c>
      <c r="M490" t="str">
        <f t="shared" si="60"/>
        <v>1</v>
      </c>
      <c r="O490" t="str">
        <f t="shared" si="61"/>
        <v>1 </v>
      </c>
      <c r="P490">
        <v>22.85</v>
      </c>
      <c r="Q490" t="s">
        <v>25</v>
      </c>
    </row>
    <row r="491" spans="1:17" ht="12.75">
      <c r="A491" t="s">
        <v>17</v>
      </c>
      <c r="B491" t="s">
        <v>18</v>
      </c>
      <c r="C491" t="s">
        <v>127</v>
      </c>
      <c r="D491" t="str">
        <f>CONCATENATE("0130018345","")</f>
        <v>0130018345</v>
      </c>
      <c r="E491" t="str">
        <f>CONCATENATE("0060540001190       ","")</f>
        <v>0060540001190       </v>
      </c>
      <c r="F491" t="str">
        <f>CONCATENATE("90500832","")</f>
        <v>90500832</v>
      </c>
      <c r="G491" t="s">
        <v>1055</v>
      </c>
      <c r="H491" t="s">
        <v>1056</v>
      </c>
      <c r="I491" t="s">
        <v>1057</v>
      </c>
      <c r="J491" t="str">
        <f t="shared" si="59"/>
        <v>080605</v>
      </c>
      <c r="K491" t="s">
        <v>23</v>
      </c>
      <c r="L491" t="s">
        <v>24</v>
      </c>
      <c r="M491" t="str">
        <f t="shared" si="60"/>
        <v>1</v>
      </c>
      <c r="O491" t="str">
        <f t="shared" si="61"/>
        <v>1 </v>
      </c>
      <c r="P491">
        <v>19.45</v>
      </c>
      <c r="Q491" t="s">
        <v>25</v>
      </c>
    </row>
    <row r="492" spans="1:17" ht="12.75">
      <c r="A492" t="s">
        <v>17</v>
      </c>
      <c r="B492" t="s">
        <v>18</v>
      </c>
      <c r="C492" t="s">
        <v>127</v>
      </c>
      <c r="D492" t="str">
        <f>CONCATENATE("0130018363","")</f>
        <v>0130018363</v>
      </c>
      <c r="E492" t="str">
        <f>CONCATENATE("0060540002270       ","")</f>
        <v>0060540002270       </v>
      </c>
      <c r="F492" t="str">
        <f>CONCATENATE("90500173","")</f>
        <v>90500173</v>
      </c>
      <c r="G492" t="s">
        <v>1055</v>
      </c>
      <c r="H492" t="s">
        <v>1058</v>
      </c>
      <c r="I492" t="s">
        <v>1057</v>
      </c>
      <c r="J492" t="str">
        <f t="shared" si="59"/>
        <v>080605</v>
      </c>
      <c r="K492" t="s">
        <v>23</v>
      </c>
      <c r="L492" t="s">
        <v>24</v>
      </c>
      <c r="M492" t="str">
        <f t="shared" si="60"/>
        <v>1</v>
      </c>
      <c r="O492" t="str">
        <f t="shared" si="61"/>
        <v>1 </v>
      </c>
      <c r="P492">
        <v>16.4</v>
      </c>
      <c r="Q492" t="s">
        <v>25</v>
      </c>
    </row>
    <row r="493" spans="1:17" ht="12.75">
      <c r="A493" t="s">
        <v>17</v>
      </c>
      <c r="B493" t="s">
        <v>18</v>
      </c>
      <c r="C493" t="s">
        <v>127</v>
      </c>
      <c r="D493" t="str">
        <f>CONCATENATE("0130019370","")</f>
        <v>0130019370</v>
      </c>
      <c r="E493" t="str">
        <f>CONCATENATE("0060545002080       ","")</f>
        <v>0060545002080       </v>
      </c>
      <c r="F493" t="str">
        <f>CONCATENATE("90601919","")</f>
        <v>90601919</v>
      </c>
      <c r="G493" t="s">
        <v>1059</v>
      </c>
      <c r="H493" t="s">
        <v>1060</v>
      </c>
      <c r="I493" t="s">
        <v>1061</v>
      </c>
      <c r="J493" t="str">
        <f t="shared" si="59"/>
        <v>080605</v>
      </c>
      <c r="K493" t="s">
        <v>23</v>
      </c>
      <c r="L493" t="s">
        <v>24</v>
      </c>
      <c r="M493" t="str">
        <f t="shared" si="60"/>
        <v>1</v>
      </c>
      <c r="O493" t="str">
        <f t="shared" si="61"/>
        <v>1 </v>
      </c>
      <c r="P493">
        <v>38.3</v>
      </c>
      <c r="Q493" t="s">
        <v>25</v>
      </c>
    </row>
    <row r="494" spans="1:17" ht="12.75">
      <c r="A494" t="s">
        <v>17</v>
      </c>
      <c r="B494" t="s">
        <v>18</v>
      </c>
      <c r="C494" t="s">
        <v>127</v>
      </c>
      <c r="D494" t="str">
        <f>CONCATENATE("0130019387","")</f>
        <v>0130019387</v>
      </c>
      <c r="E494" t="str">
        <f>CONCATENATE("0060545002310       ","")</f>
        <v>0060545002310       </v>
      </c>
      <c r="F494" t="str">
        <f>CONCATENATE("90601940","")</f>
        <v>90601940</v>
      </c>
      <c r="G494" t="s">
        <v>1059</v>
      </c>
      <c r="H494" t="s">
        <v>1062</v>
      </c>
      <c r="I494" t="s">
        <v>1061</v>
      </c>
      <c r="J494" t="str">
        <f t="shared" si="59"/>
        <v>080605</v>
      </c>
      <c r="K494" t="s">
        <v>23</v>
      </c>
      <c r="L494" t="s">
        <v>24</v>
      </c>
      <c r="M494" t="str">
        <f t="shared" si="60"/>
        <v>1</v>
      </c>
      <c r="O494" t="str">
        <f t="shared" si="61"/>
        <v>1 </v>
      </c>
      <c r="P494">
        <v>12.75</v>
      </c>
      <c r="Q494" t="s">
        <v>25</v>
      </c>
    </row>
    <row r="495" spans="1:17" ht="12.75">
      <c r="A495" t="s">
        <v>17</v>
      </c>
      <c r="B495" t="s">
        <v>18</v>
      </c>
      <c r="C495" t="s">
        <v>127</v>
      </c>
      <c r="D495" t="str">
        <f>CONCATENATE("0130018391","")</f>
        <v>0130018391</v>
      </c>
      <c r="E495" t="str">
        <f>CONCATENATE("0060550001060       ","")</f>
        <v>0060550001060       </v>
      </c>
      <c r="F495" t="str">
        <f>CONCATENATE("90600924","")</f>
        <v>90600924</v>
      </c>
      <c r="G495" t="s">
        <v>1063</v>
      </c>
      <c r="H495" t="s">
        <v>1064</v>
      </c>
      <c r="I495" t="s">
        <v>1065</v>
      </c>
      <c r="J495" t="str">
        <f t="shared" si="59"/>
        <v>080605</v>
      </c>
      <c r="K495" t="s">
        <v>23</v>
      </c>
      <c r="L495" t="s">
        <v>24</v>
      </c>
      <c r="M495" t="str">
        <f t="shared" si="60"/>
        <v>1</v>
      </c>
      <c r="O495" t="str">
        <f t="shared" si="61"/>
        <v>1 </v>
      </c>
      <c r="P495">
        <v>12</v>
      </c>
      <c r="Q495" t="s">
        <v>25</v>
      </c>
    </row>
    <row r="496" spans="1:17" ht="12.75">
      <c r="A496" t="s">
        <v>17</v>
      </c>
      <c r="B496" t="s">
        <v>18</v>
      </c>
      <c r="C496" t="s">
        <v>127</v>
      </c>
      <c r="D496" t="str">
        <f>CONCATENATE("0130018594","")</f>
        <v>0130018594</v>
      </c>
      <c r="E496" t="str">
        <f>CONCATENATE("0060555001130       ","")</f>
        <v>0060555001130       </v>
      </c>
      <c r="F496" t="str">
        <f>CONCATENATE("90601498","")</f>
        <v>90601498</v>
      </c>
      <c r="G496" t="s">
        <v>1066</v>
      </c>
      <c r="H496" t="s">
        <v>1067</v>
      </c>
      <c r="I496" t="s">
        <v>1068</v>
      </c>
      <c r="J496" t="str">
        <f t="shared" si="59"/>
        <v>080605</v>
      </c>
      <c r="K496" t="s">
        <v>23</v>
      </c>
      <c r="L496" t="s">
        <v>24</v>
      </c>
      <c r="M496" t="str">
        <f t="shared" si="60"/>
        <v>1</v>
      </c>
      <c r="O496" t="str">
        <f t="shared" si="61"/>
        <v>1 </v>
      </c>
      <c r="P496">
        <v>19.55</v>
      </c>
      <c r="Q496" t="s">
        <v>25</v>
      </c>
    </row>
    <row r="497" spans="1:17" ht="12.75">
      <c r="A497" t="s">
        <v>17</v>
      </c>
      <c r="B497" t="s">
        <v>18</v>
      </c>
      <c r="C497" t="s">
        <v>1069</v>
      </c>
      <c r="D497" t="str">
        <f>CONCATENATE("0040039232","")</f>
        <v>0040039232</v>
      </c>
      <c r="E497" t="str">
        <f>CONCATENATE("0060601000661       ","")</f>
        <v>0060601000661       </v>
      </c>
      <c r="F497" t="str">
        <f>CONCATENATE("606748096","")</f>
        <v>606748096</v>
      </c>
      <c r="G497" t="s">
        <v>1070</v>
      </c>
      <c r="H497" t="s">
        <v>1071</v>
      </c>
      <c r="I497" t="s">
        <v>1072</v>
      </c>
      <c r="J497" t="str">
        <f aca="true" t="shared" si="62" ref="J497:J536">CONCATENATE("080606","")</f>
        <v>080606</v>
      </c>
      <c r="K497" t="s">
        <v>23</v>
      </c>
      <c r="L497" t="s">
        <v>24</v>
      </c>
      <c r="M497" t="str">
        <f t="shared" si="60"/>
        <v>1</v>
      </c>
      <c r="O497" t="str">
        <f t="shared" si="61"/>
        <v>1 </v>
      </c>
      <c r="P497">
        <v>11.75</v>
      </c>
      <c r="Q497" t="s">
        <v>25</v>
      </c>
    </row>
    <row r="498" spans="1:17" ht="12.75">
      <c r="A498" t="s">
        <v>17</v>
      </c>
      <c r="B498" t="s">
        <v>18</v>
      </c>
      <c r="C498" t="s">
        <v>1069</v>
      </c>
      <c r="D498" t="str">
        <f>CONCATENATE("0130017207","")</f>
        <v>0130017207</v>
      </c>
      <c r="E498" t="str">
        <f>CONCATENATE("0060601000885       ","")</f>
        <v>0060601000885       </v>
      </c>
      <c r="F498" t="str">
        <f>CONCATENATE("605766511","")</f>
        <v>605766511</v>
      </c>
      <c r="G498" t="s">
        <v>1070</v>
      </c>
      <c r="H498" t="s">
        <v>1073</v>
      </c>
      <c r="I498" t="s">
        <v>1074</v>
      </c>
      <c r="J498" t="str">
        <f t="shared" si="62"/>
        <v>080606</v>
      </c>
      <c r="K498" t="s">
        <v>23</v>
      </c>
      <c r="L498" t="s">
        <v>24</v>
      </c>
      <c r="M498" t="str">
        <f t="shared" si="60"/>
        <v>1</v>
      </c>
      <c r="O498" t="str">
        <f t="shared" si="61"/>
        <v>1 </v>
      </c>
      <c r="P498">
        <v>22.1</v>
      </c>
      <c r="Q498" t="s">
        <v>25</v>
      </c>
    </row>
    <row r="499" spans="1:17" ht="12.75">
      <c r="A499" t="s">
        <v>17</v>
      </c>
      <c r="B499" t="s">
        <v>18</v>
      </c>
      <c r="C499" t="s">
        <v>1069</v>
      </c>
      <c r="D499" t="str">
        <f>CONCATENATE("0130016841","")</f>
        <v>0130016841</v>
      </c>
      <c r="E499" t="str">
        <f>CONCATENATE("0060601000915       ","")</f>
        <v>0060601000915       </v>
      </c>
      <c r="F499" t="str">
        <f>CONCATENATE("605626964","")</f>
        <v>605626964</v>
      </c>
      <c r="G499" t="s">
        <v>1070</v>
      </c>
      <c r="H499" t="s">
        <v>1075</v>
      </c>
      <c r="I499" t="s">
        <v>1074</v>
      </c>
      <c r="J499" t="str">
        <f t="shared" si="62"/>
        <v>080606</v>
      </c>
      <c r="K499" t="s">
        <v>23</v>
      </c>
      <c r="L499" t="s">
        <v>24</v>
      </c>
      <c r="M499" t="str">
        <f t="shared" si="60"/>
        <v>1</v>
      </c>
      <c r="O499" t="str">
        <f t="shared" si="61"/>
        <v>1 </v>
      </c>
      <c r="P499">
        <v>66.6</v>
      </c>
      <c r="Q499" t="s">
        <v>25</v>
      </c>
    </row>
    <row r="500" spans="1:17" ht="12.75">
      <c r="A500" t="s">
        <v>17</v>
      </c>
      <c r="B500" t="s">
        <v>18</v>
      </c>
      <c r="C500" t="s">
        <v>1069</v>
      </c>
      <c r="D500" t="str">
        <f>CONCATENATE("0130021056","")</f>
        <v>0130021056</v>
      </c>
      <c r="E500" t="str">
        <f>CONCATENATE("0060601000973       ","")</f>
        <v>0060601000973       </v>
      </c>
      <c r="F500" t="str">
        <f>CONCATENATE("1766061","")</f>
        <v>1766061</v>
      </c>
      <c r="G500" t="s">
        <v>1076</v>
      </c>
      <c r="H500" t="s">
        <v>1077</v>
      </c>
      <c r="I500" t="s">
        <v>1078</v>
      </c>
      <c r="J500" t="str">
        <f t="shared" si="62"/>
        <v>080606</v>
      </c>
      <c r="K500" t="s">
        <v>23</v>
      </c>
      <c r="L500" t="s">
        <v>24</v>
      </c>
      <c r="M500" t="str">
        <f t="shared" si="60"/>
        <v>1</v>
      </c>
      <c r="O500" t="str">
        <f t="shared" si="61"/>
        <v>1 </v>
      </c>
      <c r="P500">
        <v>53.35</v>
      </c>
      <c r="Q500" t="s">
        <v>25</v>
      </c>
    </row>
    <row r="501" spans="1:17" ht="12.75">
      <c r="A501" t="s">
        <v>17</v>
      </c>
      <c r="B501" t="s">
        <v>18</v>
      </c>
      <c r="C501" t="s">
        <v>1069</v>
      </c>
      <c r="D501" t="str">
        <f>CONCATENATE("0130015421","")</f>
        <v>0130015421</v>
      </c>
      <c r="E501" t="str">
        <f>CONCATENATE("0060601001570       ","")</f>
        <v>0060601001570       </v>
      </c>
      <c r="F501" t="str">
        <f>CONCATENATE("605287808","")</f>
        <v>605287808</v>
      </c>
      <c r="G501" t="s">
        <v>1070</v>
      </c>
      <c r="H501" t="s">
        <v>1079</v>
      </c>
      <c r="I501" t="s">
        <v>1080</v>
      </c>
      <c r="J501" t="str">
        <f t="shared" si="62"/>
        <v>080606</v>
      </c>
      <c r="K501" t="s">
        <v>23</v>
      </c>
      <c r="L501" t="s">
        <v>24</v>
      </c>
      <c r="M501" t="str">
        <f t="shared" si="60"/>
        <v>1</v>
      </c>
      <c r="O501" t="str">
        <f>CONCATENATE("7 ","")</f>
        <v>7 </v>
      </c>
      <c r="P501">
        <v>47.1</v>
      </c>
      <c r="Q501" t="s">
        <v>25</v>
      </c>
    </row>
    <row r="502" spans="1:17" ht="12.75">
      <c r="A502" t="s">
        <v>17</v>
      </c>
      <c r="B502" t="s">
        <v>18</v>
      </c>
      <c r="C502" t="s">
        <v>1069</v>
      </c>
      <c r="D502" t="str">
        <f>CONCATENATE("0130012991","")</f>
        <v>0130012991</v>
      </c>
      <c r="E502" t="str">
        <f>CONCATENATE("0060602000440       ","")</f>
        <v>0060602000440       </v>
      </c>
      <c r="F502" t="str">
        <f>CONCATENATE("606664816","")</f>
        <v>606664816</v>
      </c>
      <c r="G502" t="s">
        <v>1081</v>
      </c>
      <c r="H502" t="s">
        <v>1082</v>
      </c>
      <c r="I502" t="s">
        <v>1083</v>
      </c>
      <c r="J502" t="str">
        <f t="shared" si="62"/>
        <v>080606</v>
      </c>
      <c r="K502" t="s">
        <v>23</v>
      </c>
      <c r="L502" t="s">
        <v>24</v>
      </c>
      <c r="M502" t="str">
        <f t="shared" si="60"/>
        <v>1</v>
      </c>
      <c r="O502" t="str">
        <f aca="true" t="shared" si="63" ref="O502:O514">CONCATENATE("1 ","")</f>
        <v>1 </v>
      </c>
      <c r="P502">
        <v>54.8</v>
      </c>
      <c r="Q502" t="s">
        <v>25</v>
      </c>
    </row>
    <row r="503" spans="1:17" ht="12.75">
      <c r="A503" t="s">
        <v>17</v>
      </c>
      <c r="B503" t="s">
        <v>18</v>
      </c>
      <c r="C503" t="s">
        <v>1069</v>
      </c>
      <c r="D503" t="str">
        <f>CONCATENATE("0130014078","")</f>
        <v>0130014078</v>
      </c>
      <c r="E503" t="str">
        <f>CONCATENATE("0060602000680       ","")</f>
        <v>0060602000680       </v>
      </c>
      <c r="F503" t="str">
        <f>CONCATENATE("606664821","")</f>
        <v>606664821</v>
      </c>
      <c r="G503" t="s">
        <v>1081</v>
      </c>
      <c r="H503" t="s">
        <v>1084</v>
      </c>
      <c r="I503" t="s">
        <v>1085</v>
      </c>
      <c r="J503" t="str">
        <f t="shared" si="62"/>
        <v>080606</v>
      </c>
      <c r="K503" t="s">
        <v>23</v>
      </c>
      <c r="L503" t="s">
        <v>24</v>
      </c>
      <c r="M503" t="str">
        <f t="shared" si="60"/>
        <v>1</v>
      </c>
      <c r="O503" t="str">
        <f t="shared" si="63"/>
        <v>1 </v>
      </c>
      <c r="P503">
        <v>64.6</v>
      </c>
      <c r="Q503" t="s">
        <v>25</v>
      </c>
    </row>
    <row r="504" spans="1:17" ht="12.75">
      <c r="A504" t="s">
        <v>17</v>
      </c>
      <c r="B504" t="s">
        <v>18</v>
      </c>
      <c r="C504" t="s">
        <v>1069</v>
      </c>
      <c r="D504" t="str">
        <f>CONCATENATE("0130008520","")</f>
        <v>0130008520</v>
      </c>
      <c r="E504" t="str">
        <f>CONCATENATE("0060602000695       ","")</f>
        <v>0060602000695       </v>
      </c>
      <c r="F504" t="str">
        <f>CONCATENATE("605565656","")</f>
        <v>605565656</v>
      </c>
      <c r="G504" t="s">
        <v>1081</v>
      </c>
      <c r="H504" t="s">
        <v>1086</v>
      </c>
      <c r="I504" t="s">
        <v>1087</v>
      </c>
      <c r="J504" t="str">
        <f t="shared" si="62"/>
        <v>080606</v>
      </c>
      <c r="K504" t="s">
        <v>23</v>
      </c>
      <c r="L504" t="s">
        <v>24</v>
      </c>
      <c r="M504" t="str">
        <f t="shared" si="60"/>
        <v>1</v>
      </c>
      <c r="O504" t="str">
        <f t="shared" si="63"/>
        <v>1 </v>
      </c>
      <c r="P504">
        <v>20.05</v>
      </c>
      <c r="Q504" t="s">
        <v>25</v>
      </c>
    </row>
    <row r="505" spans="1:17" ht="12.75">
      <c r="A505" t="s">
        <v>17</v>
      </c>
      <c r="B505" t="s">
        <v>18</v>
      </c>
      <c r="C505" t="s">
        <v>1069</v>
      </c>
      <c r="D505" t="str">
        <f>CONCATENATE("0130009177","")</f>
        <v>0130009177</v>
      </c>
      <c r="E505" t="str">
        <f>CONCATENATE("0060602000900       ","")</f>
        <v>0060602000900       </v>
      </c>
      <c r="F505" t="str">
        <f>CONCATENATE("606598176","")</f>
        <v>606598176</v>
      </c>
      <c r="G505" t="s">
        <v>1081</v>
      </c>
      <c r="H505" t="s">
        <v>1088</v>
      </c>
      <c r="I505" t="s">
        <v>1089</v>
      </c>
      <c r="J505" t="str">
        <f t="shared" si="62"/>
        <v>080606</v>
      </c>
      <c r="K505" t="s">
        <v>23</v>
      </c>
      <c r="L505" t="s">
        <v>24</v>
      </c>
      <c r="M505" t="str">
        <f t="shared" si="60"/>
        <v>1</v>
      </c>
      <c r="O505" t="str">
        <f t="shared" si="63"/>
        <v>1 </v>
      </c>
      <c r="P505">
        <v>39</v>
      </c>
      <c r="Q505" t="s">
        <v>25</v>
      </c>
    </row>
    <row r="506" spans="1:17" ht="12.75">
      <c r="A506" t="s">
        <v>17</v>
      </c>
      <c r="B506" t="s">
        <v>18</v>
      </c>
      <c r="C506" t="s">
        <v>1069</v>
      </c>
      <c r="D506" t="str">
        <f>CONCATENATE("0130007272","")</f>
        <v>0130007272</v>
      </c>
      <c r="E506" t="str">
        <f>CONCATENATE("0060602000931       ","")</f>
        <v>0060602000931       </v>
      </c>
      <c r="F506" t="str">
        <f>CONCATENATE("605565667","")</f>
        <v>605565667</v>
      </c>
      <c r="G506" t="s">
        <v>1081</v>
      </c>
      <c r="H506" t="s">
        <v>1090</v>
      </c>
      <c r="I506" t="s">
        <v>1091</v>
      </c>
      <c r="J506" t="str">
        <f t="shared" si="62"/>
        <v>080606</v>
      </c>
      <c r="K506" t="s">
        <v>23</v>
      </c>
      <c r="L506" t="s">
        <v>24</v>
      </c>
      <c r="M506" t="str">
        <f t="shared" si="60"/>
        <v>1</v>
      </c>
      <c r="O506" t="str">
        <f t="shared" si="63"/>
        <v>1 </v>
      </c>
      <c r="P506">
        <v>99.3</v>
      </c>
      <c r="Q506" t="s">
        <v>25</v>
      </c>
    </row>
    <row r="507" spans="1:17" ht="12.75">
      <c r="A507" t="s">
        <v>17</v>
      </c>
      <c r="B507" t="s">
        <v>18</v>
      </c>
      <c r="C507" t="s">
        <v>1069</v>
      </c>
      <c r="D507" t="str">
        <f>CONCATENATE("0130019151","")</f>
        <v>0130019151</v>
      </c>
      <c r="E507" t="str">
        <f>CONCATENATE("0060602000965       ","")</f>
        <v>0060602000965       </v>
      </c>
      <c r="F507" t="str">
        <f>CONCATENATE("605934210","")</f>
        <v>605934210</v>
      </c>
      <c r="G507" t="s">
        <v>1081</v>
      </c>
      <c r="H507" t="s">
        <v>1092</v>
      </c>
      <c r="I507" t="s">
        <v>1093</v>
      </c>
      <c r="J507" t="str">
        <f t="shared" si="62"/>
        <v>080606</v>
      </c>
      <c r="K507" t="s">
        <v>23</v>
      </c>
      <c r="L507" t="s">
        <v>24</v>
      </c>
      <c r="M507" t="str">
        <f t="shared" si="60"/>
        <v>1</v>
      </c>
      <c r="O507" t="str">
        <f t="shared" si="63"/>
        <v>1 </v>
      </c>
      <c r="P507">
        <v>13.55</v>
      </c>
      <c r="Q507" t="s">
        <v>25</v>
      </c>
    </row>
    <row r="508" spans="1:17" ht="12.75">
      <c r="A508" t="s">
        <v>17</v>
      </c>
      <c r="B508" t="s">
        <v>18</v>
      </c>
      <c r="C508" t="s">
        <v>1069</v>
      </c>
      <c r="D508" t="str">
        <f>CONCATENATE("0040032948","")</f>
        <v>0040032948</v>
      </c>
      <c r="E508" t="str">
        <f>CONCATENATE("0060602001130       ","")</f>
        <v>0060602001130       </v>
      </c>
      <c r="F508" t="str">
        <f>CONCATENATE("2187108","")</f>
        <v>2187108</v>
      </c>
      <c r="G508" t="s">
        <v>1081</v>
      </c>
      <c r="H508" t="s">
        <v>1094</v>
      </c>
      <c r="I508" t="s">
        <v>1095</v>
      </c>
      <c r="J508" t="str">
        <f t="shared" si="62"/>
        <v>080606</v>
      </c>
      <c r="K508" t="s">
        <v>23</v>
      </c>
      <c r="L508" t="s">
        <v>24</v>
      </c>
      <c r="M508" t="str">
        <f t="shared" si="60"/>
        <v>1</v>
      </c>
      <c r="O508" t="str">
        <f t="shared" si="63"/>
        <v>1 </v>
      </c>
      <c r="P508">
        <v>24.65</v>
      </c>
      <c r="Q508" t="s">
        <v>25</v>
      </c>
    </row>
    <row r="509" spans="1:17" ht="12.75">
      <c r="A509" t="s">
        <v>17</v>
      </c>
      <c r="B509" t="s">
        <v>18</v>
      </c>
      <c r="C509" t="s">
        <v>1069</v>
      </c>
      <c r="D509" t="str">
        <f>CONCATENATE("0130021182","")</f>
        <v>0130021182</v>
      </c>
      <c r="E509" t="str">
        <f>CONCATENATE("0060602001594       ","")</f>
        <v>0060602001594       </v>
      </c>
      <c r="F509" t="str">
        <f>CONCATENATE("1934412","")</f>
        <v>1934412</v>
      </c>
      <c r="G509" t="s">
        <v>1081</v>
      </c>
      <c r="H509" t="s">
        <v>1096</v>
      </c>
      <c r="I509" t="s">
        <v>1097</v>
      </c>
      <c r="J509" t="str">
        <f t="shared" si="62"/>
        <v>080606</v>
      </c>
      <c r="K509" t="s">
        <v>23</v>
      </c>
      <c r="L509" t="s">
        <v>24</v>
      </c>
      <c r="M509" t="str">
        <f t="shared" si="60"/>
        <v>1</v>
      </c>
      <c r="O509" t="str">
        <f t="shared" si="63"/>
        <v>1 </v>
      </c>
      <c r="P509">
        <v>13.55</v>
      </c>
      <c r="Q509" t="s">
        <v>25</v>
      </c>
    </row>
    <row r="510" spans="1:17" ht="12.75">
      <c r="A510" t="s">
        <v>17</v>
      </c>
      <c r="B510" t="s">
        <v>18</v>
      </c>
      <c r="C510" t="s">
        <v>1069</v>
      </c>
      <c r="D510" t="str">
        <f>CONCATENATE("0040033243","")</f>
        <v>0040033243</v>
      </c>
      <c r="E510" t="str">
        <f>CONCATENATE("0060602001740       ","")</f>
        <v>0060602001740       </v>
      </c>
      <c r="F510" t="str">
        <f>CONCATENATE("0605282179","")</f>
        <v>0605282179</v>
      </c>
      <c r="G510" t="s">
        <v>1081</v>
      </c>
      <c r="H510" t="s">
        <v>1098</v>
      </c>
      <c r="I510" t="s">
        <v>1099</v>
      </c>
      <c r="J510" t="str">
        <f t="shared" si="62"/>
        <v>080606</v>
      </c>
      <c r="K510" t="s">
        <v>23</v>
      </c>
      <c r="L510" t="s">
        <v>24</v>
      </c>
      <c r="M510" t="str">
        <f t="shared" si="60"/>
        <v>1</v>
      </c>
      <c r="O510" t="str">
        <f t="shared" si="63"/>
        <v>1 </v>
      </c>
      <c r="P510">
        <v>87.35</v>
      </c>
      <c r="Q510" t="s">
        <v>25</v>
      </c>
    </row>
    <row r="511" spans="1:17" ht="12.75">
      <c r="A511" t="s">
        <v>17</v>
      </c>
      <c r="B511" t="s">
        <v>18</v>
      </c>
      <c r="C511" t="s">
        <v>1069</v>
      </c>
      <c r="D511" t="str">
        <f>CONCATENATE("0040039310","")</f>
        <v>0040039310</v>
      </c>
      <c r="E511" t="str">
        <f>CONCATENATE("0060602001810       ","")</f>
        <v>0060602001810       </v>
      </c>
      <c r="F511" t="str">
        <f>CONCATENATE("606592305","")</f>
        <v>606592305</v>
      </c>
      <c r="G511" t="s">
        <v>1081</v>
      </c>
      <c r="H511" t="s">
        <v>1100</v>
      </c>
      <c r="I511" t="s">
        <v>1101</v>
      </c>
      <c r="J511" t="str">
        <f t="shared" si="62"/>
        <v>080606</v>
      </c>
      <c r="K511" t="s">
        <v>23</v>
      </c>
      <c r="L511" t="s">
        <v>24</v>
      </c>
      <c r="M511" t="str">
        <f t="shared" si="60"/>
        <v>1</v>
      </c>
      <c r="O511" t="str">
        <f t="shared" si="63"/>
        <v>1 </v>
      </c>
      <c r="P511">
        <v>12.35</v>
      </c>
      <c r="Q511" t="s">
        <v>25</v>
      </c>
    </row>
    <row r="512" spans="1:17" ht="12.75">
      <c r="A512" t="s">
        <v>17</v>
      </c>
      <c r="B512" t="s">
        <v>18</v>
      </c>
      <c r="C512" t="s">
        <v>1069</v>
      </c>
      <c r="D512" t="str">
        <f>CONCATENATE("0130020175","")</f>
        <v>0130020175</v>
      </c>
      <c r="E512" t="str">
        <f>CONCATENATE("0060602002577       ","")</f>
        <v>0060602002577       </v>
      </c>
      <c r="F512" t="str">
        <f>CONCATENATE("605933292","")</f>
        <v>605933292</v>
      </c>
      <c r="G512" t="s">
        <v>1081</v>
      </c>
      <c r="H512" t="s">
        <v>1102</v>
      </c>
      <c r="I512" t="s">
        <v>1103</v>
      </c>
      <c r="J512" t="str">
        <f t="shared" si="62"/>
        <v>080606</v>
      </c>
      <c r="K512" t="s">
        <v>23</v>
      </c>
      <c r="L512" t="s">
        <v>24</v>
      </c>
      <c r="M512" t="str">
        <f t="shared" si="60"/>
        <v>1</v>
      </c>
      <c r="O512" t="str">
        <f t="shared" si="63"/>
        <v>1 </v>
      </c>
      <c r="P512">
        <v>11.5</v>
      </c>
      <c r="Q512" t="s">
        <v>25</v>
      </c>
    </row>
    <row r="513" spans="1:17" ht="12.75">
      <c r="A513" t="s">
        <v>17</v>
      </c>
      <c r="B513" t="s">
        <v>18</v>
      </c>
      <c r="C513" t="s">
        <v>1069</v>
      </c>
      <c r="D513" t="str">
        <f>CONCATENATE("0130021395","")</f>
        <v>0130021395</v>
      </c>
      <c r="E513" t="str">
        <f>CONCATENATE("0060603000090       ","")</f>
        <v>0060603000090       </v>
      </c>
      <c r="F513" t="str">
        <f>CONCATENATE("1765490","")</f>
        <v>1765490</v>
      </c>
      <c r="G513" t="s">
        <v>1081</v>
      </c>
      <c r="H513" t="s">
        <v>1104</v>
      </c>
      <c r="I513" t="s">
        <v>1105</v>
      </c>
      <c r="J513" t="str">
        <f t="shared" si="62"/>
        <v>080606</v>
      </c>
      <c r="K513" t="s">
        <v>23</v>
      </c>
      <c r="L513" t="s">
        <v>24</v>
      </c>
      <c r="M513" t="str">
        <f t="shared" si="60"/>
        <v>1</v>
      </c>
      <c r="O513" t="str">
        <f t="shared" si="63"/>
        <v>1 </v>
      </c>
      <c r="P513">
        <v>32</v>
      </c>
      <c r="Q513" t="s">
        <v>25</v>
      </c>
    </row>
    <row r="514" spans="1:17" ht="12.75">
      <c r="A514" t="s">
        <v>17</v>
      </c>
      <c r="B514" t="s">
        <v>18</v>
      </c>
      <c r="C514" t="s">
        <v>1069</v>
      </c>
      <c r="D514" t="str">
        <f>CONCATENATE("0130011020","")</f>
        <v>0130011020</v>
      </c>
      <c r="E514" t="str">
        <f>CONCATENATE("0060603000500       ","")</f>
        <v>0060603000500       </v>
      </c>
      <c r="F514" t="str">
        <f>CONCATENATE("606852315","")</f>
        <v>606852315</v>
      </c>
      <c r="G514" t="s">
        <v>1076</v>
      </c>
      <c r="H514" t="s">
        <v>1106</v>
      </c>
      <c r="I514" t="s">
        <v>1107</v>
      </c>
      <c r="J514" t="str">
        <f t="shared" si="62"/>
        <v>080606</v>
      </c>
      <c r="K514" t="s">
        <v>23</v>
      </c>
      <c r="L514" t="s">
        <v>24</v>
      </c>
      <c r="M514" t="str">
        <f t="shared" si="60"/>
        <v>1</v>
      </c>
      <c r="O514" t="str">
        <f t="shared" si="63"/>
        <v>1 </v>
      </c>
      <c r="P514">
        <v>105.8</v>
      </c>
      <c r="Q514" t="s">
        <v>25</v>
      </c>
    </row>
    <row r="515" spans="1:17" ht="12.75">
      <c r="A515" t="s">
        <v>17</v>
      </c>
      <c r="B515" t="s">
        <v>18</v>
      </c>
      <c r="C515" t="s">
        <v>1069</v>
      </c>
      <c r="D515" t="str">
        <f>CONCATENATE("0130020654","")</f>
        <v>0130020654</v>
      </c>
      <c r="E515" t="str">
        <f>CONCATENATE("0060603000519       ","")</f>
        <v>0060603000519       </v>
      </c>
      <c r="F515" t="str">
        <f>CONCATENATE("507008434","")</f>
        <v>507008434</v>
      </c>
      <c r="G515" t="s">
        <v>1076</v>
      </c>
      <c r="H515" t="s">
        <v>1108</v>
      </c>
      <c r="I515" t="s">
        <v>1109</v>
      </c>
      <c r="J515" t="str">
        <f t="shared" si="62"/>
        <v>080606</v>
      </c>
      <c r="K515" t="s">
        <v>23</v>
      </c>
      <c r="L515" t="s">
        <v>24</v>
      </c>
      <c r="M515" t="str">
        <f>CONCATENATE("3","")</f>
        <v>3</v>
      </c>
      <c r="O515" t="str">
        <f>CONCATENATE("3 ","")</f>
        <v>3 </v>
      </c>
      <c r="P515">
        <v>8949.65</v>
      </c>
      <c r="Q515" t="s">
        <v>124</v>
      </c>
    </row>
    <row r="516" spans="1:17" ht="12.75">
      <c r="A516" t="s">
        <v>17</v>
      </c>
      <c r="B516" t="s">
        <v>18</v>
      </c>
      <c r="C516" t="s">
        <v>1069</v>
      </c>
      <c r="D516" t="str">
        <f>CONCATENATE("0130016793","")</f>
        <v>0130016793</v>
      </c>
      <c r="E516" t="str">
        <f>CONCATENATE("0060603000865       ","")</f>
        <v>0060603000865       </v>
      </c>
      <c r="F516" t="str">
        <f>CONCATENATE("605621207","")</f>
        <v>605621207</v>
      </c>
      <c r="G516" t="s">
        <v>1076</v>
      </c>
      <c r="H516" t="s">
        <v>1110</v>
      </c>
      <c r="I516" t="s">
        <v>1111</v>
      </c>
      <c r="J516" t="str">
        <f t="shared" si="62"/>
        <v>080606</v>
      </c>
      <c r="K516" t="s">
        <v>23</v>
      </c>
      <c r="L516" t="s">
        <v>24</v>
      </c>
      <c r="M516" t="str">
        <f>CONCATENATE("1","")</f>
        <v>1</v>
      </c>
      <c r="O516" t="str">
        <f aca="true" t="shared" si="64" ref="O516:O530">CONCATENATE("1 ","")</f>
        <v>1 </v>
      </c>
      <c r="P516">
        <v>14.75</v>
      </c>
      <c r="Q516" t="s">
        <v>25</v>
      </c>
    </row>
    <row r="517" spans="1:17" ht="12.75">
      <c r="A517" t="s">
        <v>17</v>
      </c>
      <c r="B517" t="s">
        <v>18</v>
      </c>
      <c r="C517" t="s">
        <v>1069</v>
      </c>
      <c r="D517" t="str">
        <f>CONCATENATE("0130004168","")</f>
        <v>0130004168</v>
      </c>
      <c r="E517" t="str">
        <f>CONCATENATE("0060603001310       ","")</f>
        <v>0060603001310       </v>
      </c>
      <c r="F517" t="str">
        <f>CONCATENATE("605231695","")</f>
        <v>605231695</v>
      </c>
      <c r="G517" t="s">
        <v>1076</v>
      </c>
      <c r="H517" t="s">
        <v>1112</v>
      </c>
      <c r="I517" t="s">
        <v>1113</v>
      </c>
      <c r="J517" t="str">
        <f t="shared" si="62"/>
        <v>080606</v>
      </c>
      <c r="K517" t="s">
        <v>23</v>
      </c>
      <c r="L517" t="s">
        <v>24</v>
      </c>
      <c r="M517" t="str">
        <f>CONCATENATE("1","")</f>
        <v>1</v>
      </c>
      <c r="O517" t="str">
        <f t="shared" si="64"/>
        <v>1 </v>
      </c>
      <c r="P517">
        <v>57.7</v>
      </c>
      <c r="Q517" t="s">
        <v>25</v>
      </c>
    </row>
    <row r="518" spans="1:17" ht="12.75">
      <c r="A518" t="s">
        <v>17</v>
      </c>
      <c r="B518" t="s">
        <v>18</v>
      </c>
      <c r="C518" t="s">
        <v>1069</v>
      </c>
      <c r="D518" t="str">
        <f>CONCATENATE("0130009973","")</f>
        <v>0130009973</v>
      </c>
      <c r="E518" t="str">
        <f>CONCATENATE("0060603001600       ","")</f>
        <v>0060603001600       </v>
      </c>
      <c r="F518" t="str">
        <f>CONCATENATE("00005634280","")</f>
        <v>00005634280</v>
      </c>
      <c r="G518" t="s">
        <v>1076</v>
      </c>
      <c r="H518" t="s">
        <v>1114</v>
      </c>
      <c r="I518" t="s">
        <v>1115</v>
      </c>
      <c r="J518" t="str">
        <f t="shared" si="62"/>
        <v>080606</v>
      </c>
      <c r="K518" t="s">
        <v>23</v>
      </c>
      <c r="L518" t="s">
        <v>24</v>
      </c>
      <c r="M518" t="str">
        <f>CONCATENATE("3","")</f>
        <v>3</v>
      </c>
      <c r="O518" t="str">
        <f t="shared" si="64"/>
        <v>1 </v>
      </c>
      <c r="P518">
        <v>68.6</v>
      </c>
      <c r="Q518" t="s">
        <v>124</v>
      </c>
    </row>
    <row r="519" spans="1:17" ht="12.75">
      <c r="A519" t="s">
        <v>17</v>
      </c>
      <c r="B519" t="s">
        <v>18</v>
      </c>
      <c r="C519" t="s">
        <v>1069</v>
      </c>
      <c r="D519" t="str">
        <f>CONCATENATE("0130009674","")</f>
        <v>0130009674</v>
      </c>
      <c r="E519" t="str">
        <f>CONCATENATE("0060603002085       ","")</f>
        <v>0060603002085       </v>
      </c>
      <c r="F519" t="str">
        <f>CONCATENATE("605231020","")</f>
        <v>605231020</v>
      </c>
      <c r="G519" t="s">
        <v>1070</v>
      </c>
      <c r="H519" t="s">
        <v>1116</v>
      </c>
      <c r="I519" t="s">
        <v>1117</v>
      </c>
      <c r="J519" t="str">
        <f t="shared" si="62"/>
        <v>080606</v>
      </c>
      <c r="K519" t="s">
        <v>23</v>
      </c>
      <c r="L519" t="s">
        <v>24</v>
      </c>
      <c r="M519" t="str">
        <f aca="true" t="shared" si="65" ref="M519:M527">CONCATENATE("1","")</f>
        <v>1</v>
      </c>
      <c r="O519" t="str">
        <f t="shared" si="64"/>
        <v>1 </v>
      </c>
      <c r="P519">
        <v>28.45</v>
      </c>
      <c r="Q519" t="s">
        <v>25</v>
      </c>
    </row>
    <row r="520" spans="1:17" ht="12.75">
      <c r="A520" t="s">
        <v>17</v>
      </c>
      <c r="B520" t="s">
        <v>18</v>
      </c>
      <c r="C520" t="s">
        <v>1069</v>
      </c>
      <c r="D520" t="str">
        <f>CONCATENATE("0130009556","")</f>
        <v>0130009556</v>
      </c>
      <c r="E520" t="str">
        <f>CONCATENATE("0060603002155       ","")</f>
        <v>0060603002155       </v>
      </c>
      <c r="F520" t="str">
        <f>CONCATENATE("75551780","")</f>
        <v>75551780</v>
      </c>
      <c r="G520" t="s">
        <v>1076</v>
      </c>
      <c r="H520" t="s">
        <v>1118</v>
      </c>
      <c r="I520" t="s">
        <v>1119</v>
      </c>
      <c r="J520" t="str">
        <f t="shared" si="62"/>
        <v>080606</v>
      </c>
      <c r="K520" t="s">
        <v>23</v>
      </c>
      <c r="L520" t="s">
        <v>24</v>
      </c>
      <c r="M520" t="str">
        <f t="shared" si="65"/>
        <v>1</v>
      </c>
      <c r="O520" t="str">
        <f t="shared" si="64"/>
        <v>1 </v>
      </c>
      <c r="P520">
        <v>48.55</v>
      </c>
      <c r="Q520" t="s">
        <v>25</v>
      </c>
    </row>
    <row r="521" spans="1:17" ht="12.75">
      <c r="A521" t="s">
        <v>17</v>
      </c>
      <c r="B521" t="s">
        <v>18</v>
      </c>
      <c r="C521" t="s">
        <v>1069</v>
      </c>
      <c r="D521" t="str">
        <f>CONCATENATE("0130010084","")</f>
        <v>0130010084</v>
      </c>
      <c r="E521" t="str">
        <f>CONCATENATE("0060603002630       ","")</f>
        <v>0060603002630       </v>
      </c>
      <c r="F521" t="str">
        <f>CONCATENATE("605112606","")</f>
        <v>605112606</v>
      </c>
      <c r="G521" t="s">
        <v>1081</v>
      </c>
      <c r="H521" t="s">
        <v>1120</v>
      </c>
      <c r="I521" t="s">
        <v>221</v>
      </c>
      <c r="J521" t="str">
        <f t="shared" si="62"/>
        <v>080606</v>
      </c>
      <c r="K521" t="s">
        <v>23</v>
      </c>
      <c r="L521" t="s">
        <v>24</v>
      </c>
      <c r="M521" t="str">
        <f t="shared" si="65"/>
        <v>1</v>
      </c>
      <c r="O521" t="str">
        <f t="shared" si="64"/>
        <v>1 </v>
      </c>
      <c r="P521">
        <v>220.2</v>
      </c>
      <c r="Q521" t="s">
        <v>25</v>
      </c>
    </row>
    <row r="522" spans="1:17" ht="12.75">
      <c r="A522" t="s">
        <v>17</v>
      </c>
      <c r="B522" t="s">
        <v>18</v>
      </c>
      <c r="C522" t="s">
        <v>1069</v>
      </c>
      <c r="D522" t="str">
        <f>CONCATENATE("0130016469","")</f>
        <v>0130016469</v>
      </c>
      <c r="E522" t="str">
        <f>CONCATENATE("0060604000028       ","")</f>
        <v>0060604000028       </v>
      </c>
      <c r="F522" t="str">
        <f>CONCATENATE("789537","")</f>
        <v>789537</v>
      </c>
      <c r="G522" t="s">
        <v>1121</v>
      </c>
      <c r="H522" t="s">
        <v>1122</v>
      </c>
      <c r="I522" t="s">
        <v>1123</v>
      </c>
      <c r="J522" t="str">
        <f t="shared" si="62"/>
        <v>080606</v>
      </c>
      <c r="K522" t="s">
        <v>23</v>
      </c>
      <c r="L522" t="s">
        <v>24</v>
      </c>
      <c r="M522" t="str">
        <f t="shared" si="65"/>
        <v>1</v>
      </c>
      <c r="O522" t="str">
        <f t="shared" si="64"/>
        <v>1 </v>
      </c>
      <c r="P522">
        <v>23.3</v>
      </c>
      <c r="Q522" t="s">
        <v>25</v>
      </c>
    </row>
    <row r="523" spans="1:17" ht="12.75">
      <c r="A523" t="s">
        <v>17</v>
      </c>
      <c r="B523" t="s">
        <v>18</v>
      </c>
      <c r="C523" t="s">
        <v>1069</v>
      </c>
      <c r="D523" t="str">
        <f>CONCATENATE("0130014395","")</f>
        <v>0130014395</v>
      </c>
      <c r="E523" t="str">
        <f>CONCATENATE("0060605000490       ","")</f>
        <v>0060605000490       </v>
      </c>
      <c r="F523" t="str">
        <f>CONCATENATE("606676502","")</f>
        <v>606676502</v>
      </c>
      <c r="G523" t="s">
        <v>1124</v>
      </c>
      <c r="H523" t="str">
        <f>CONCATENATE("56075-IRUBAMBA--C--E-","")</f>
        <v>56075-IRUBAMBA--C--E-</v>
      </c>
      <c r="I523" t="s">
        <v>1125</v>
      </c>
      <c r="J523" t="str">
        <f t="shared" si="62"/>
        <v>080606</v>
      </c>
      <c r="K523" t="s">
        <v>23</v>
      </c>
      <c r="L523" t="s">
        <v>24</v>
      </c>
      <c r="M523" t="str">
        <f t="shared" si="65"/>
        <v>1</v>
      </c>
      <c r="O523" t="str">
        <f t="shared" si="64"/>
        <v>1 </v>
      </c>
      <c r="P523">
        <v>10.6</v>
      </c>
      <c r="Q523" t="s">
        <v>25</v>
      </c>
    </row>
    <row r="524" spans="1:17" ht="12.75">
      <c r="A524" t="s">
        <v>17</v>
      </c>
      <c r="B524" t="s">
        <v>18</v>
      </c>
      <c r="C524" t="s">
        <v>1069</v>
      </c>
      <c r="D524" t="str">
        <f>CONCATENATE("0130017066","")</f>
        <v>0130017066</v>
      </c>
      <c r="E524" t="str">
        <f>CONCATENATE("0060610000085       ","")</f>
        <v>0060610000085       </v>
      </c>
      <c r="F524" t="str">
        <f>CONCATENATE("605758732","")</f>
        <v>605758732</v>
      </c>
      <c r="G524" t="s">
        <v>1126</v>
      </c>
      <c r="H524" t="s">
        <v>1127</v>
      </c>
      <c r="I524" t="s">
        <v>1128</v>
      </c>
      <c r="J524" t="str">
        <f t="shared" si="62"/>
        <v>080606</v>
      </c>
      <c r="K524" t="s">
        <v>23</v>
      </c>
      <c r="L524" t="s">
        <v>24</v>
      </c>
      <c r="M524" t="str">
        <f t="shared" si="65"/>
        <v>1</v>
      </c>
      <c r="O524" t="str">
        <f t="shared" si="64"/>
        <v>1 </v>
      </c>
      <c r="P524">
        <v>11.75</v>
      </c>
      <c r="Q524" t="s">
        <v>25</v>
      </c>
    </row>
    <row r="525" spans="1:17" ht="12.75">
      <c r="A525" t="s">
        <v>17</v>
      </c>
      <c r="B525" t="s">
        <v>18</v>
      </c>
      <c r="C525" t="s">
        <v>1069</v>
      </c>
      <c r="D525" t="str">
        <f>CONCATENATE("0130007512","")</f>
        <v>0130007512</v>
      </c>
      <c r="E525" t="str">
        <f>CONCATENATE("0060610000180       ","")</f>
        <v>0060610000180       </v>
      </c>
      <c r="F525" t="str">
        <f>CONCATENATE("605399405","")</f>
        <v>605399405</v>
      </c>
      <c r="G525" t="s">
        <v>1126</v>
      </c>
      <c r="H525" t="s">
        <v>1129</v>
      </c>
      <c r="I525" t="s">
        <v>1130</v>
      </c>
      <c r="J525" t="str">
        <f t="shared" si="62"/>
        <v>080606</v>
      </c>
      <c r="K525" t="s">
        <v>23</v>
      </c>
      <c r="L525" t="s">
        <v>24</v>
      </c>
      <c r="M525" t="str">
        <f t="shared" si="65"/>
        <v>1</v>
      </c>
      <c r="O525" t="str">
        <f t="shared" si="64"/>
        <v>1 </v>
      </c>
      <c r="P525">
        <v>14.25</v>
      </c>
      <c r="Q525" t="s">
        <v>25</v>
      </c>
    </row>
    <row r="526" spans="1:17" ht="12.75">
      <c r="A526" t="s">
        <v>17</v>
      </c>
      <c r="B526" t="s">
        <v>18</v>
      </c>
      <c r="C526" t="s">
        <v>1069</v>
      </c>
      <c r="D526" t="str">
        <f>CONCATENATE("0040031668","")</f>
        <v>0040031668</v>
      </c>
      <c r="E526" t="str">
        <f>CONCATENATE("0060612001011       ","")</f>
        <v>0060612001011       </v>
      </c>
      <c r="F526" t="str">
        <f>CONCATENATE("1679110","")</f>
        <v>1679110</v>
      </c>
      <c r="G526" t="s">
        <v>1131</v>
      </c>
      <c r="H526" t="s">
        <v>1132</v>
      </c>
      <c r="I526" t="s">
        <v>1133</v>
      </c>
      <c r="J526" t="str">
        <f t="shared" si="62"/>
        <v>080606</v>
      </c>
      <c r="K526" t="s">
        <v>23</v>
      </c>
      <c r="L526" t="s">
        <v>24</v>
      </c>
      <c r="M526" t="str">
        <f t="shared" si="65"/>
        <v>1</v>
      </c>
      <c r="O526" t="str">
        <f t="shared" si="64"/>
        <v>1 </v>
      </c>
      <c r="P526">
        <v>34.3</v>
      </c>
      <c r="Q526" t="s">
        <v>25</v>
      </c>
    </row>
    <row r="527" spans="1:17" ht="12.75">
      <c r="A527" t="s">
        <v>17</v>
      </c>
      <c r="B527" t="s">
        <v>18</v>
      </c>
      <c r="C527" t="s">
        <v>1069</v>
      </c>
      <c r="D527" t="str">
        <f>CONCATENATE("0130016068","")</f>
        <v>0130016068</v>
      </c>
      <c r="E527" t="str">
        <f>CONCATENATE("0060620000115       ","")</f>
        <v>0060620000115       </v>
      </c>
      <c r="F527" t="str">
        <f>CONCATENATE("605293625","")</f>
        <v>605293625</v>
      </c>
      <c r="G527" t="s">
        <v>1134</v>
      </c>
      <c r="H527" t="s">
        <v>1135</v>
      </c>
      <c r="I527" t="s">
        <v>1136</v>
      </c>
      <c r="J527" t="str">
        <f t="shared" si="62"/>
        <v>080606</v>
      </c>
      <c r="K527" t="s">
        <v>23</v>
      </c>
      <c r="L527" t="s">
        <v>24</v>
      </c>
      <c r="M527" t="str">
        <f t="shared" si="65"/>
        <v>1</v>
      </c>
      <c r="O527" t="str">
        <f t="shared" si="64"/>
        <v>1 </v>
      </c>
      <c r="P527">
        <v>12.3</v>
      </c>
      <c r="Q527" t="s">
        <v>25</v>
      </c>
    </row>
    <row r="528" spans="1:17" ht="12.75">
      <c r="A528" t="s">
        <v>17</v>
      </c>
      <c r="B528" t="s">
        <v>18</v>
      </c>
      <c r="C528" t="s">
        <v>1069</v>
      </c>
      <c r="D528" t="str">
        <f>CONCATENATE("0130017320","")</f>
        <v>0130017320</v>
      </c>
      <c r="E528" t="str">
        <f>CONCATENATE("0060622000150       ","")</f>
        <v>0060622000150       </v>
      </c>
      <c r="F528" t="str">
        <f>CONCATENATE("111701","")</f>
        <v>111701</v>
      </c>
      <c r="G528" t="s">
        <v>1137</v>
      </c>
      <c r="H528" t="s">
        <v>1138</v>
      </c>
      <c r="I528" t="s">
        <v>1139</v>
      </c>
      <c r="J528" t="str">
        <f t="shared" si="62"/>
        <v>080606</v>
      </c>
      <c r="K528" t="s">
        <v>23</v>
      </c>
      <c r="L528" t="s">
        <v>24</v>
      </c>
      <c r="M528" t="str">
        <f>CONCATENATE("3","")</f>
        <v>3</v>
      </c>
      <c r="O528" t="str">
        <f t="shared" si="64"/>
        <v>1 </v>
      </c>
      <c r="P528">
        <v>375.65</v>
      </c>
      <c r="Q528" t="s">
        <v>124</v>
      </c>
    </row>
    <row r="529" spans="1:17" ht="12.75">
      <c r="A529" t="s">
        <v>17</v>
      </c>
      <c r="B529" t="s">
        <v>18</v>
      </c>
      <c r="C529" t="s">
        <v>1069</v>
      </c>
      <c r="D529" t="str">
        <f>CONCATENATE("0040038849","")</f>
        <v>0040038849</v>
      </c>
      <c r="E529" t="str">
        <f>CONCATENATE("0060622000185       ","")</f>
        <v>0060622000185       </v>
      </c>
      <c r="F529" t="str">
        <f>CONCATENATE("606746645","")</f>
        <v>606746645</v>
      </c>
      <c r="G529" t="s">
        <v>1137</v>
      </c>
      <c r="H529" t="s">
        <v>1140</v>
      </c>
      <c r="I529" t="s">
        <v>1141</v>
      </c>
      <c r="J529" t="str">
        <f t="shared" si="62"/>
        <v>080606</v>
      </c>
      <c r="K529" t="s">
        <v>23</v>
      </c>
      <c r="L529" t="s">
        <v>24</v>
      </c>
      <c r="M529" t="str">
        <f aca="true" t="shared" si="66" ref="M529:M537">CONCATENATE("1","")</f>
        <v>1</v>
      </c>
      <c r="O529" t="str">
        <f t="shared" si="64"/>
        <v>1 </v>
      </c>
      <c r="P529">
        <v>13.95</v>
      </c>
      <c r="Q529" t="s">
        <v>25</v>
      </c>
    </row>
    <row r="530" spans="1:17" ht="12.75">
      <c r="A530" t="s">
        <v>17</v>
      </c>
      <c r="B530" t="s">
        <v>18</v>
      </c>
      <c r="C530" t="s">
        <v>1069</v>
      </c>
      <c r="D530" t="str">
        <f>CONCATENATE("0130004347","")</f>
        <v>0130004347</v>
      </c>
      <c r="E530" t="str">
        <f>CONCATENATE("0060623000090       ","")</f>
        <v>0060623000090       </v>
      </c>
      <c r="F530" t="str">
        <f>CONCATENATE("694358","")</f>
        <v>694358</v>
      </c>
      <c r="G530" t="s">
        <v>1142</v>
      </c>
      <c r="H530" t="s">
        <v>1143</v>
      </c>
      <c r="I530" t="s">
        <v>1144</v>
      </c>
      <c r="J530" t="str">
        <f t="shared" si="62"/>
        <v>080606</v>
      </c>
      <c r="K530" t="s">
        <v>23</v>
      </c>
      <c r="L530" t="s">
        <v>24</v>
      </c>
      <c r="M530" t="str">
        <f t="shared" si="66"/>
        <v>1</v>
      </c>
      <c r="O530" t="str">
        <f t="shared" si="64"/>
        <v>1 </v>
      </c>
      <c r="P530">
        <v>11.5</v>
      </c>
      <c r="Q530" t="s">
        <v>25</v>
      </c>
    </row>
    <row r="531" spans="1:17" ht="12.75">
      <c r="A531" t="s">
        <v>17</v>
      </c>
      <c r="B531" t="s">
        <v>18</v>
      </c>
      <c r="C531" t="s">
        <v>1069</v>
      </c>
      <c r="D531" t="str">
        <f>CONCATENATE("0130013849","")</f>
        <v>0130013849</v>
      </c>
      <c r="E531" t="str">
        <f>CONCATENATE("0060623000145       ","")</f>
        <v>0060623000145       </v>
      </c>
      <c r="F531" t="str">
        <f>CONCATENATE("606676513","")</f>
        <v>606676513</v>
      </c>
      <c r="G531" t="s">
        <v>1142</v>
      </c>
      <c r="H531" t="s">
        <v>1145</v>
      </c>
      <c r="I531" t="s">
        <v>1146</v>
      </c>
      <c r="J531" t="str">
        <f t="shared" si="62"/>
        <v>080606</v>
      </c>
      <c r="K531" t="s">
        <v>23</v>
      </c>
      <c r="L531" t="s">
        <v>24</v>
      </c>
      <c r="M531" t="str">
        <f t="shared" si="66"/>
        <v>1</v>
      </c>
      <c r="O531" t="str">
        <f>CONCATENATE("2 ","")</f>
        <v>2 </v>
      </c>
      <c r="P531">
        <v>16.65</v>
      </c>
      <c r="Q531" t="s">
        <v>25</v>
      </c>
    </row>
    <row r="532" spans="1:17" ht="12.75">
      <c r="A532" t="s">
        <v>17</v>
      </c>
      <c r="B532" t="s">
        <v>18</v>
      </c>
      <c r="C532" t="s">
        <v>1069</v>
      </c>
      <c r="D532" t="str">
        <f>CONCATENATE("0130004355","")</f>
        <v>0130004355</v>
      </c>
      <c r="E532" t="str">
        <f>CONCATENATE("0060623000170       ","")</f>
        <v>0060623000170       </v>
      </c>
      <c r="F532" t="str">
        <f>CONCATENATE("605398157","")</f>
        <v>605398157</v>
      </c>
      <c r="G532" t="s">
        <v>1142</v>
      </c>
      <c r="H532" t="s">
        <v>1147</v>
      </c>
      <c r="I532" t="s">
        <v>1144</v>
      </c>
      <c r="J532" t="str">
        <f t="shared" si="62"/>
        <v>080606</v>
      </c>
      <c r="K532" t="s">
        <v>23</v>
      </c>
      <c r="L532" t="s">
        <v>24</v>
      </c>
      <c r="M532" t="str">
        <f t="shared" si="66"/>
        <v>1</v>
      </c>
      <c r="O532" t="str">
        <f>CONCATENATE("6 ","")</f>
        <v>6 </v>
      </c>
      <c r="P532">
        <v>37.75</v>
      </c>
      <c r="Q532" t="s">
        <v>25</v>
      </c>
    </row>
    <row r="533" spans="1:17" ht="12.75">
      <c r="A533" t="s">
        <v>17</v>
      </c>
      <c r="B533" t="s">
        <v>18</v>
      </c>
      <c r="C533" t="s">
        <v>1069</v>
      </c>
      <c r="D533" t="str">
        <f>CONCATENATE("0130021545","")</f>
        <v>0130021545</v>
      </c>
      <c r="E533" t="str">
        <f>CONCATENATE("0060623000355       ","")</f>
        <v>0060623000355       </v>
      </c>
      <c r="F533" t="str">
        <f>CONCATENATE("1931091","")</f>
        <v>1931091</v>
      </c>
      <c r="G533" t="s">
        <v>1142</v>
      </c>
      <c r="H533" t="s">
        <v>1148</v>
      </c>
      <c r="I533" t="s">
        <v>1149</v>
      </c>
      <c r="J533" t="str">
        <f t="shared" si="62"/>
        <v>080606</v>
      </c>
      <c r="K533" t="s">
        <v>23</v>
      </c>
      <c r="L533" t="s">
        <v>24</v>
      </c>
      <c r="M533" t="str">
        <f t="shared" si="66"/>
        <v>1</v>
      </c>
      <c r="O533" t="str">
        <f>CONCATENATE("2 ","")</f>
        <v>2 </v>
      </c>
      <c r="P533">
        <v>17.4</v>
      </c>
      <c r="Q533" t="s">
        <v>25</v>
      </c>
    </row>
    <row r="534" spans="1:17" ht="12.75">
      <c r="A534" t="s">
        <v>17</v>
      </c>
      <c r="B534" t="s">
        <v>18</v>
      </c>
      <c r="C534" t="s">
        <v>1069</v>
      </c>
      <c r="D534" t="str">
        <f>CONCATENATE("0130004415","")</f>
        <v>0130004415</v>
      </c>
      <c r="E534" t="str">
        <f>CONCATENATE("0060624000480       ","")</f>
        <v>0060624000480       </v>
      </c>
      <c r="F534" t="str">
        <f>CONCATENATE("605118628","")</f>
        <v>605118628</v>
      </c>
      <c r="G534" t="s">
        <v>1150</v>
      </c>
      <c r="H534" t="s">
        <v>1151</v>
      </c>
      <c r="I534" t="s">
        <v>1152</v>
      </c>
      <c r="J534" t="str">
        <f t="shared" si="62"/>
        <v>080606</v>
      </c>
      <c r="K534" t="s">
        <v>23</v>
      </c>
      <c r="L534" t="s">
        <v>24</v>
      </c>
      <c r="M534" t="str">
        <f t="shared" si="66"/>
        <v>1</v>
      </c>
      <c r="O534" t="str">
        <f>CONCATENATE("1 ","")</f>
        <v>1 </v>
      </c>
      <c r="P534">
        <v>16.4</v>
      </c>
      <c r="Q534" t="s">
        <v>25</v>
      </c>
    </row>
    <row r="535" spans="1:17" ht="12.75">
      <c r="A535" t="s">
        <v>17</v>
      </c>
      <c r="B535" t="s">
        <v>18</v>
      </c>
      <c r="C535" t="s">
        <v>1069</v>
      </c>
      <c r="D535" t="str">
        <f>CONCATENATE("0130010145","")</f>
        <v>0130010145</v>
      </c>
      <c r="E535" t="str">
        <f>CONCATENATE("0060626000040       ","")</f>
        <v>0060626000040       </v>
      </c>
      <c r="F535" t="str">
        <f>CONCATENATE("605740851","")</f>
        <v>605740851</v>
      </c>
      <c r="G535" t="s">
        <v>1153</v>
      </c>
      <c r="H535" t="s">
        <v>1154</v>
      </c>
      <c r="I535" t="s">
        <v>1155</v>
      </c>
      <c r="J535" t="str">
        <f t="shared" si="62"/>
        <v>080606</v>
      </c>
      <c r="K535" t="s">
        <v>23</v>
      </c>
      <c r="L535" t="s">
        <v>24</v>
      </c>
      <c r="M535" t="str">
        <f t="shared" si="66"/>
        <v>1</v>
      </c>
      <c r="O535" t="str">
        <f>CONCATENATE("3 ","")</f>
        <v>3 </v>
      </c>
      <c r="P535">
        <v>21.3</v>
      </c>
      <c r="Q535" t="s">
        <v>25</v>
      </c>
    </row>
    <row r="536" spans="1:17" ht="12.75">
      <c r="A536" t="s">
        <v>17</v>
      </c>
      <c r="B536" t="s">
        <v>18</v>
      </c>
      <c r="C536" t="s">
        <v>1069</v>
      </c>
      <c r="D536" t="str">
        <f>CONCATENATE("0130010158","")</f>
        <v>0130010158</v>
      </c>
      <c r="E536" t="str">
        <f>CONCATENATE("0060626000180       ","")</f>
        <v>0060626000180       </v>
      </c>
      <c r="F536" t="str">
        <f>CONCATENATE("605398740","")</f>
        <v>605398740</v>
      </c>
      <c r="G536" t="s">
        <v>1153</v>
      </c>
      <c r="H536" t="s">
        <v>1156</v>
      </c>
      <c r="I536" t="s">
        <v>1155</v>
      </c>
      <c r="J536" t="str">
        <f t="shared" si="62"/>
        <v>080606</v>
      </c>
      <c r="K536" t="s">
        <v>23</v>
      </c>
      <c r="L536" t="s">
        <v>24</v>
      </c>
      <c r="M536" t="str">
        <f t="shared" si="66"/>
        <v>1</v>
      </c>
      <c r="O536" t="str">
        <f>CONCATENATE("8 ","")</f>
        <v>8 </v>
      </c>
      <c r="P536">
        <v>206.6</v>
      </c>
      <c r="Q536" t="s">
        <v>25</v>
      </c>
    </row>
    <row r="537" spans="1:17" ht="12.75">
      <c r="A537" t="s">
        <v>17</v>
      </c>
      <c r="B537" t="s">
        <v>18</v>
      </c>
      <c r="C537" t="s">
        <v>1157</v>
      </c>
      <c r="D537" t="str">
        <f>CONCATENATE("0130008220","")</f>
        <v>0130008220</v>
      </c>
      <c r="E537" t="str">
        <f>CONCATENATE("0060701000561       ","")</f>
        <v>0060701000561       </v>
      </c>
      <c r="F537" t="str">
        <f>CONCATENATE("605391737","")</f>
        <v>605391737</v>
      </c>
      <c r="G537" t="s">
        <v>1158</v>
      </c>
      <c r="H537" t="s">
        <v>1159</v>
      </c>
      <c r="I537" t="s">
        <v>1160</v>
      </c>
      <c r="J537" t="str">
        <f aca="true" t="shared" si="67" ref="J537:J549">CONCATENATE("080607","")</f>
        <v>080607</v>
      </c>
      <c r="K537" t="s">
        <v>23</v>
      </c>
      <c r="L537" t="s">
        <v>24</v>
      </c>
      <c r="M537" t="str">
        <f t="shared" si="66"/>
        <v>1</v>
      </c>
      <c r="O537" t="str">
        <f>CONCATENATE("1 ","")</f>
        <v>1 </v>
      </c>
      <c r="P537">
        <v>206.15</v>
      </c>
      <c r="Q537" t="s">
        <v>25</v>
      </c>
    </row>
    <row r="538" spans="1:17" ht="12.75">
      <c r="A538" t="s">
        <v>17</v>
      </c>
      <c r="B538" t="s">
        <v>18</v>
      </c>
      <c r="C538" t="s">
        <v>1157</v>
      </c>
      <c r="D538" t="str">
        <f>CONCATENATE("0130004503","")</f>
        <v>0130004503</v>
      </c>
      <c r="E538" t="str">
        <f>CONCATENATE("0060701001050       ","")</f>
        <v>0060701001050       </v>
      </c>
      <c r="F538" t="str">
        <f>CONCATENATE("507030412","")</f>
        <v>507030412</v>
      </c>
      <c r="G538" t="s">
        <v>1158</v>
      </c>
      <c r="H538" t="s">
        <v>1161</v>
      </c>
      <c r="I538" t="s">
        <v>1162</v>
      </c>
      <c r="J538" t="str">
        <f t="shared" si="67"/>
        <v>080607</v>
      </c>
      <c r="K538" t="s">
        <v>23</v>
      </c>
      <c r="L538" t="s">
        <v>24</v>
      </c>
      <c r="M538" t="str">
        <f>CONCATENATE("3","")</f>
        <v>3</v>
      </c>
      <c r="O538" t="str">
        <f>CONCATENATE("1 ","")</f>
        <v>1 </v>
      </c>
      <c r="P538">
        <v>877.15</v>
      </c>
      <c r="Q538" t="s">
        <v>25</v>
      </c>
    </row>
    <row r="539" spans="1:17" ht="12.75">
      <c r="A539" t="s">
        <v>17</v>
      </c>
      <c r="B539" t="s">
        <v>18</v>
      </c>
      <c r="C539" t="s">
        <v>1157</v>
      </c>
      <c r="D539" t="str">
        <f>CONCATENATE("0130004518","")</f>
        <v>0130004518</v>
      </c>
      <c r="E539" t="str">
        <f>CONCATENATE("0060701001240       ","")</f>
        <v>0060701001240       </v>
      </c>
      <c r="F539" t="str">
        <f>CONCATENATE("2190126","")</f>
        <v>2190126</v>
      </c>
      <c r="G539" t="s">
        <v>1158</v>
      </c>
      <c r="H539" t="s">
        <v>1163</v>
      </c>
      <c r="I539" t="s">
        <v>1164</v>
      </c>
      <c r="J539" t="str">
        <f t="shared" si="67"/>
        <v>080607</v>
      </c>
      <c r="K539" t="s">
        <v>23</v>
      </c>
      <c r="L539" t="s">
        <v>24</v>
      </c>
      <c r="M539" t="str">
        <f>CONCATENATE("1","")</f>
        <v>1</v>
      </c>
      <c r="O539" t="str">
        <f>CONCATENATE("2 ","")</f>
        <v>2 </v>
      </c>
      <c r="P539">
        <v>142.25</v>
      </c>
      <c r="Q539" t="s">
        <v>25</v>
      </c>
    </row>
    <row r="540" spans="1:17" ht="12.75">
      <c r="A540" t="s">
        <v>17</v>
      </c>
      <c r="B540" t="s">
        <v>18</v>
      </c>
      <c r="C540" t="s">
        <v>1157</v>
      </c>
      <c r="D540" t="str">
        <f>CONCATENATE("0130009826","")</f>
        <v>0130009826</v>
      </c>
      <c r="E540" t="str">
        <f>CONCATENATE("0060701001241       ","")</f>
        <v>0060701001241       </v>
      </c>
      <c r="F540" t="str">
        <f>CONCATENATE("00582302","")</f>
        <v>00582302</v>
      </c>
      <c r="G540" t="s">
        <v>1158</v>
      </c>
      <c r="H540" t="s">
        <v>1165</v>
      </c>
      <c r="I540" t="s">
        <v>1166</v>
      </c>
      <c r="J540" t="str">
        <f t="shared" si="67"/>
        <v>080607</v>
      </c>
      <c r="K540" t="s">
        <v>23</v>
      </c>
      <c r="L540" t="s">
        <v>24</v>
      </c>
      <c r="M540" t="str">
        <f>CONCATENATE("1","")</f>
        <v>1</v>
      </c>
      <c r="O540" t="str">
        <f>CONCATENATE("1 ","")</f>
        <v>1 </v>
      </c>
      <c r="P540">
        <v>85.25</v>
      </c>
      <c r="Q540" t="s">
        <v>124</v>
      </c>
    </row>
    <row r="541" spans="1:17" ht="12.75">
      <c r="A541" t="s">
        <v>17</v>
      </c>
      <c r="B541" t="s">
        <v>18</v>
      </c>
      <c r="C541" t="s">
        <v>1157</v>
      </c>
      <c r="D541" t="str">
        <f>CONCATENATE("0130004571","")</f>
        <v>0130004571</v>
      </c>
      <c r="E541" t="str">
        <f>CONCATENATE("0060702000300       ","")</f>
        <v>0060702000300       </v>
      </c>
      <c r="F541" t="str">
        <f>CONCATENATE("605565998","")</f>
        <v>605565998</v>
      </c>
      <c r="G541" t="s">
        <v>1167</v>
      </c>
      <c r="H541" t="s">
        <v>1168</v>
      </c>
      <c r="I541" t="s">
        <v>1169</v>
      </c>
      <c r="J541" t="str">
        <f t="shared" si="67"/>
        <v>080607</v>
      </c>
      <c r="K541" t="s">
        <v>23</v>
      </c>
      <c r="L541" t="s">
        <v>24</v>
      </c>
      <c r="M541" t="str">
        <f>CONCATENATE("1","")</f>
        <v>1</v>
      </c>
      <c r="O541" t="str">
        <f>CONCATENATE("1 ","")</f>
        <v>1 </v>
      </c>
      <c r="P541">
        <v>11.45</v>
      </c>
      <c r="Q541" t="s">
        <v>25</v>
      </c>
    </row>
    <row r="542" spans="1:17" ht="12.75">
      <c r="A542" t="s">
        <v>17</v>
      </c>
      <c r="B542" t="s">
        <v>18</v>
      </c>
      <c r="C542" t="s">
        <v>1157</v>
      </c>
      <c r="D542" t="str">
        <f>CONCATENATE("0130011343","")</f>
        <v>0130011343</v>
      </c>
      <c r="E542" t="str">
        <f>CONCATENATE("0060702000510       ","")</f>
        <v>0060702000510       </v>
      </c>
      <c r="F542" t="str">
        <f>CONCATENATE("00565241","")</f>
        <v>00565241</v>
      </c>
      <c r="G542" t="s">
        <v>1167</v>
      </c>
      <c r="H542" t="s">
        <v>1170</v>
      </c>
      <c r="I542" t="s">
        <v>1171</v>
      </c>
      <c r="J542" t="str">
        <f t="shared" si="67"/>
        <v>080607</v>
      </c>
      <c r="K542" t="s">
        <v>23</v>
      </c>
      <c r="L542" t="s">
        <v>24</v>
      </c>
      <c r="M542" t="str">
        <f>CONCATENATE("3","")</f>
        <v>3</v>
      </c>
      <c r="O542" t="str">
        <f>CONCATENATE("1 ","")</f>
        <v>1 </v>
      </c>
      <c r="P542">
        <v>187.05</v>
      </c>
      <c r="Q542" t="s">
        <v>124</v>
      </c>
    </row>
    <row r="543" spans="1:17" ht="12.75">
      <c r="A543" t="s">
        <v>17</v>
      </c>
      <c r="B543" t="s">
        <v>18</v>
      </c>
      <c r="C543" t="s">
        <v>1157</v>
      </c>
      <c r="D543" t="str">
        <f>CONCATENATE("0130013578","")</f>
        <v>0130013578</v>
      </c>
      <c r="E543" t="str">
        <f>CONCATENATE("0060715022215       ","")</f>
        <v>0060715022215       </v>
      </c>
      <c r="F543" t="str">
        <f>CONCATENATE("606668407","")</f>
        <v>606668407</v>
      </c>
      <c r="G543" t="s">
        <v>1172</v>
      </c>
      <c r="H543" t="s">
        <v>1173</v>
      </c>
      <c r="I543" t="s">
        <v>1174</v>
      </c>
      <c r="J543" t="str">
        <f t="shared" si="67"/>
        <v>080607</v>
      </c>
      <c r="K543" t="s">
        <v>23</v>
      </c>
      <c r="L543" t="s">
        <v>24</v>
      </c>
      <c r="M543" t="str">
        <f aca="true" t="shared" si="68" ref="M543:M576">CONCATENATE("1","")</f>
        <v>1</v>
      </c>
      <c r="O543" t="str">
        <f>CONCATENATE("2 ","")</f>
        <v>2 </v>
      </c>
      <c r="P543">
        <v>20.55</v>
      </c>
      <c r="Q543" t="s">
        <v>25</v>
      </c>
    </row>
    <row r="544" spans="1:17" ht="12.75">
      <c r="A544" t="s">
        <v>17</v>
      </c>
      <c r="B544" t="s">
        <v>18</v>
      </c>
      <c r="C544" t="s">
        <v>1157</v>
      </c>
      <c r="D544" t="str">
        <f>CONCATENATE("0130010855","")</f>
        <v>0130010855</v>
      </c>
      <c r="E544" t="str">
        <f>CONCATENATE("0060715031160       ","")</f>
        <v>0060715031160       </v>
      </c>
      <c r="F544" t="str">
        <f>CONCATENATE("605743626","")</f>
        <v>605743626</v>
      </c>
      <c r="G544" t="s">
        <v>1175</v>
      </c>
      <c r="H544" t="s">
        <v>1176</v>
      </c>
      <c r="I544" t="s">
        <v>1174</v>
      </c>
      <c r="J544" t="str">
        <f t="shared" si="67"/>
        <v>080607</v>
      </c>
      <c r="K544" t="s">
        <v>23</v>
      </c>
      <c r="L544" t="s">
        <v>24</v>
      </c>
      <c r="M544" t="str">
        <f t="shared" si="68"/>
        <v>1</v>
      </c>
      <c r="O544" t="str">
        <f>CONCATENATE("1 ","")</f>
        <v>1 </v>
      </c>
      <c r="P544">
        <v>32.55</v>
      </c>
      <c r="Q544" t="s">
        <v>25</v>
      </c>
    </row>
    <row r="545" spans="1:17" ht="12.75">
      <c r="A545" t="s">
        <v>17</v>
      </c>
      <c r="B545" t="s">
        <v>18</v>
      </c>
      <c r="C545" t="s">
        <v>1157</v>
      </c>
      <c r="D545" t="str">
        <f>CONCATENATE("0130004725","")</f>
        <v>0130004725</v>
      </c>
      <c r="E545" t="str">
        <f>CONCATENATE("0060720000870       ","")</f>
        <v>0060720000870       </v>
      </c>
      <c r="F545" t="str">
        <f>CONCATENATE("00000001705","")</f>
        <v>00000001705</v>
      </c>
      <c r="G545" t="s">
        <v>1177</v>
      </c>
      <c r="H545" t="s">
        <v>1178</v>
      </c>
      <c r="I545" t="s">
        <v>1179</v>
      </c>
      <c r="J545" t="str">
        <f t="shared" si="67"/>
        <v>080607</v>
      </c>
      <c r="K545" t="s">
        <v>23</v>
      </c>
      <c r="L545" t="s">
        <v>24</v>
      </c>
      <c r="M545" t="str">
        <f t="shared" si="68"/>
        <v>1</v>
      </c>
      <c r="O545" t="str">
        <f>CONCATENATE("1 ","")</f>
        <v>1 </v>
      </c>
      <c r="P545">
        <v>45.35</v>
      </c>
      <c r="Q545" t="s">
        <v>25</v>
      </c>
    </row>
    <row r="546" spans="1:17" ht="12.75">
      <c r="A546" t="s">
        <v>17</v>
      </c>
      <c r="B546" t="s">
        <v>18</v>
      </c>
      <c r="C546" t="s">
        <v>1157</v>
      </c>
      <c r="D546" t="str">
        <f>CONCATENATE("0130004734","")</f>
        <v>0130004734</v>
      </c>
      <c r="E546" t="str">
        <f>CONCATENATE("0060720001040       ","")</f>
        <v>0060720001040       </v>
      </c>
      <c r="F546" t="str">
        <f>CONCATENATE("0606032497","")</f>
        <v>0606032497</v>
      </c>
      <c r="G546" t="s">
        <v>1177</v>
      </c>
      <c r="H546" t="s">
        <v>1180</v>
      </c>
      <c r="I546" t="s">
        <v>1181</v>
      </c>
      <c r="J546" t="str">
        <f t="shared" si="67"/>
        <v>080607</v>
      </c>
      <c r="K546" t="s">
        <v>23</v>
      </c>
      <c r="L546" t="s">
        <v>24</v>
      </c>
      <c r="M546" t="str">
        <f t="shared" si="68"/>
        <v>1</v>
      </c>
      <c r="O546" t="str">
        <f>CONCATENATE("1 ","")</f>
        <v>1 </v>
      </c>
      <c r="P546">
        <v>11.75</v>
      </c>
      <c r="Q546" t="s">
        <v>25</v>
      </c>
    </row>
    <row r="547" spans="1:17" ht="12.75">
      <c r="A547" t="s">
        <v>17</v>
      </c>
      <c r="B547" t="s">
        <v>18</v>
      </c>
      <c r="C547" t="s">
        <v>1157</v>
      </c>
      <c r="D547" t="str">
        <f>CONCATENATE("0130004751","")</f>
        <v>0130004751</v>
      </c>
      <c r="E547" t="str">
        <f>CONCATENATE("0060725000220       ","")</f>
        <v>0060725000220       </v>
      </c>
      <c r="F547" t="str">
        <f>CONCATENATE("7442343","")</f>
        <v>7442343</v>
      </c>
      <c r="G547" t="s">
        <v>1182</v>
      </c>
      <c r="H547" t="s">
        <v>1183</v>
      </c>
      <c r="I547" t="s">
        <v>1184</v>
      </c>
      <c r="J547" t="str">
        <f t="shared" si="67"/>
        <v>080607</v>
      </c>
      <c r="K547" t="s">
        <v>23</v>
      </c>
      <c r="L547" t="s">
        <v>24</v>
      </c>
      <c r="M547" t="str">
        <f t="shared" si="68"/>
        <v>1</v>
      </c>
      <c r="O547" t="str">
        <f>CONCATENATE("1 ","")</f>
        <v>1 </v>
      </c>
      <c r="P547">
        <v>39.35</v>
      </c>
      <c r="Q547" t="s">
        <v>25</v>
      </c>
    </row>
    <row r="548" spans="1:17" ht="12.75">
      <c r="A548" t="s">
        <v>17</v>
      </c>
      <c r="B548" t="s">
        <v>18</v>
      </c>
      <c r="C548" t="s">
        <v>1157</v>
      </c>
      <c r="D548" t="str">
        <f>CONCATENATE("0130009056","")</f>
        <v>0130009056</v>
      </c>
      <c r="E548" t="str">
        <f>CONCATENATE("0060730000060       ","")</f>
        <v>0060730000060       </v>
      </c>
      <c r="F548" t="str">
        <f>CONCATENATE("605749377","")</f>
        <v>605749377</v>
      </c>
      <c r="G548" t="s">
        <v>1185</v>
      </c>
      <c r="H548" t="s">
        <v>1186</v>
      </c>
      <c r="I548" t="s">
        <v>1187</v>
      </c>
      <c r="J548" t="str">
        <f t="shared" si="67"/>
        <v>080607</v>
      </c>
      <c r="K548" t="s">
        <v>23</v>
      </c>
      <c r="L548" t="s">
        <v>24</v>
      </c>
      <c r="M548" t="str">
        <f t="shared" si="68"/>
        <v>1</v>
      </c>
      <c r="O548" t="str">
        <f>CONCATENATE("7 ","")</f>
        <v>7 </v>
      </c>
      <c r="P548">
        <v>43.75</v>
      </c>
      <c r="Q548" t="s">
        <v>25</v>
      </c>
    </row>
    <row r="549" spans="1:17" ht="12.75">
      <c r="A549" t="s">
        <v>17</v>
      </c>
      <c r="B549" t="s">
        <v>18</v>
      </c>
      <c r="C549" t="s">
        <v>1157</v>
      </c>
      <c r="D549" t="str">
        <f>CONCATENATE("0130011525","")</f>
        <v>0130011525</v>
      </c>
      <c r="E549" t="str">
        <f>CONCATENATE("0060730000505       ","")</f>
        <v>0060730000505       </v>
      </c>
      <c r="F549" t="str">
        <f>CONCATENATE("10430971","")</f>
        <v>10430971</v>
      </c>
      <c r="G549" t="s">
        <v>1185</v>
      </c>
      <c r="H549" t="s">
        <v>1188</v>
      </c>
      <c r="I549" t="s">
        <v>1189</v>
      </c>
      <c r="J549" t="str">
        <f t="shared" si="67"/>
        <v>080607</v>
      </c>
      <c r="K549" t="s">
        <v>23</v>
      </c>
      <c r="L549" t="s">
        <v>24</v>
      </c>
      <c r="M549" t="str">
        <f t="shared" si="68"/>
        <v>1</v>
      </c>
      <c r="O549" t="str">
        <f aca="true" t="shared" si="69" ref="O549:O586">CONCATENATE("1 ","")</f>
        <v>1 </v>
      </c>
      <c r="P549">
        <v>12.6</v>
      </c>
      <c r="Q549" t="s">
        <v>25</v>
      </c>
    </row>
    <row r="550" spans="1:17" ht="12.75">
      <c r="A550" t="s">
        <v>17</v>
      </c>
      <c r="B550" t="s">
        <v>18</v>
      </c>
      <c r="C550" t="s">
        <v>1190</v>
      </c>
      <c r="D550" t="str">
        <f>CONCATENATE("0040039789","")</f>
        <v>0040039789</v>
      </c>
      <c r="E550" t="str">
        <f>CONCATENATE("0060801000124       ","")</f>
        <v>0060801000124       </v>
      </c>
      <c r="F550" t="str">
        <f>CONCATENATE("606601870","")</f>
        <v>606601870</v>
      </c>
      <c r="G550" t="s">
        <v>1191</v>
      </c>
      <c r="H550" t="s">
        <v>1192</v>
      </c>
      <c r="I550" t="s">
        <v>1193</v>
      </c>
      <c r="J550" t="str">
        <f aca="true" t="shared" si="70" ref="J550:J590">CONCATENATE("080608","")</f>
        <v>080608</v>
      </c>
      <c r="K550" t="s">
        <v>23</v>
      </c>
      <c r="L550" t="s">
        <v>24</v>
      </c>
      <c r="M550" t="str">
        <f t="shared" si="68"/>
        <v>1</v>
      </c>
      <c r="O550" t="str">
        <f t="shared" si="69"/>
        <v>1 </v>
      </c>
      <c r="P550">
        <v>12.75</v>
      </c>
      <c r="Q550" t="s">
        <v>25</v>
      </c>
    </row>
    <row r="551" spans="1:17" ht="12.75">
      <c r="A551" t="s">
        <v>17</v>
      </c>
      <c r="B551" t="s">
        <v>18</v>
      </c>
      <c r="C551" t="s">
        <v>1190</v>
      </c>
      <c r="D551" t="str">
        <f>CONCATENATE("0130012940","")</f>
        <v>0130012940</v>
      </c>
      <c r="E551" t="str">
        <f>CONCATENATE("0060801000528       ","")</f>
        <v>0060801000528       </v>
      </c>
      <c r="F551" t="str">
        <f>CONCATENATE("606598169","")</f>
        <v>606598169</v>
      </c>
      <c r="G551" t="s">
        <v>1194</v>
      </c>
      <c r="H551" t="s">
        <v>1195</v>
      </c>
      <c r="I551" t="s">
        <v>1196</v>
      </c>
      <c r="J551" t="str">
        <f t="shared" si="70"/>
        <v>080608</v>
      </c>
      <c r="K551" t="s">
        <v>23</v>
      </c>
      <c r="L551" t="s">
        <v>24</v>
      </c>
      <c r="M551" t="str">
        <f t="shared" si="68"/>
        <v>1</v>
      </c>
      <c r="O551" t="str">
        <f t="shared" si="69"/>
        <v>1 </v>
      </c>
      <c r="P551">
        <v>63.65</v>
      </c>
      <c r="Q551" t="s">
        <v>25</v>
      </c>
    </row>
    <row r="552" spans="1:17" ht="12.75">
      <c r="A552" t="s">
        <v>17</v>
      </c>
      <c r="B552" t="s">
        <v>18</v>
      </c>
      <c r="C552" t="s">
        <v>1190</v>
      </c>
      <c r="D552" t="str">
        <f>CONCATENATE("0130004977","")</f>
        <v>0130004977</v>
      </c>
      <c r="E552" t="str">
        <f>CONCATENATE("0060801000550       ","")</f>
        <v>0060801000550       </v>
      </c>
      <c r="F552" t="str">
        <f>CONCATENATE("605393503","")</f>
        <v>605393503</v>
      </c>
      <c r="G552" t="s">
        <v>1194</v>
      </c>
      <c r="H552" t="s">
        <v>1197</v>
      </c>
      <c r="I552" t="s">
        <v>321</v>
      </c>
      <c r="J552" t="str">
        <f t="shared" si="70"/>
        <v>080608</v>
      </c>
      <c r="K552" t="s">
        <v>23</v>
      </c>
      <c r="L552" t="s">
        <v>24</v>
      </c>
      <c r="M552" t="str">
        <f t="shared" si="68"/>
        <v>1</v>
      </c>
      <c r="O552" t="str">
        <f t="shared" si="69"/>
        <v>1 </v>
      </c>
      <c r="P552">
        <v>26.75</v>
      </c>
      <c r="Q552" t="s">
        <v>25</v>
      </c>
    </row>
    <row r="553" spans="1:17" ht="12.75">
      <c r="A553" t="s">
        <v>17</v>
      </c>
      <c r="B553" t="s">
        <v>18</v>
      </c>
      <c r="C553" t="s">
        <v>1190</v>
      </c>
      <c r="D553" t="str">
        <f>CONCATENATE("0130004989","")</f>
        <v>0130004989</v>
      </c>
      <c r="E553" t="str">
        <f>CONCATENATE("0060801000620       ","")</f>
        <v>0060801000620       </v>
      </c>
      <c r="F553" t="str">
        <f>CONCATENATE("605114680","")</f>
        <v>605114680</v>
      </c>
      <c r="G553" t="s">
        <v>1194</v>
      </c>
      <c r="H553" t="s">
        <v>1198</v>
      </c>
      <c r="I553" t="str">
        <f>CONCATENATE("28-DE-JULIO-883","")</f>
        <v>28-DE-JULIO-883</v>
      </c>
      <c r="J553" t="str">
        <f t="shared" si="70"/>
        <v>080608</v>
      </c>
      <c r="K553" t="s">
        <v>23</v>
      </c>
      <c r="L553" t="s">
        <v>24</v>
      </c>
      <c r="M553" t="str">
        <f t="shared" si="68"/>
        <v>1</v>
      </c>
      <c r="O553" t="str">
        <f t="shared" si="69"/>
        <v>1 </v>
      </c>
      <c r="P553">
        <v>60.8</v>
      </c>
      <c r="Q553" t="s">
        <v>25</v>
      </c>
    </row>
    <row r="554" spans="1:17" ht="12.75">
      <c r="A554" t="s">
        <v>17</v>
      </c>
      <c r="B554" t="s">
        <v>18</v>
      </c>
      <c r="C554" t="s">
        <v>1190</v>
      </c>
      <c r="D554" t="str">
        <f>CONCATENATE("0130004990","")</f>
        <v>0130004990</v>
      </c>
      <c r="E554" t="str">
        <f>CONCATENATE("0060801000625       ","")</f>
        <v>0060801000625       </v>
      </c>
      <c r="F554" t="str">
        <f>CONCATENATE("606590963","")</f>
        <v>606590963</v>
      </c>
      <c r="G554" t="s">
        <v>1194</v>
      </c>
      <c r="H554" t="s">
        <v>1199</v>
      </c>
      <c r="I554" t="str">
        <f>CONCATENATE("28-DE-JULIO---S-N","")</f>
        <v>28-DE-JULIO---S-N</v>
      </c>
      <c r="J554" t="str">
        <f t="shared" si="70"/>
        <v>080608</v>
      </c>
      <c r="K554" t="s">
        <v>23</v>
      </c>
      <c r="L554" t="s">
        <v>24</v>
      </c>
      <c r="M554" t="str">
        <f t="shared" si="68"/>
        <v>1</v>
      </c>
      <c r="O554" t="str">
        <f t="shared" si="69"/>
        <v>1 </v>
      </c>
      <c r="P554">
        <v>73.75</v>
      </c>
      <c r="Q554" t="s">
        <v>25</v>
      </c>
    </row>
    <row r="555" spans="1:17" ht="12.75">
      <c r="A555" t="s">
        <v>17</v>
      </c>
      <c r="B555" t="s">
        <v>18</v>
      </c>
      <c r="C555" t="s">
        <v>1190</v>
      </c>
      <c r="D555" t="str">
        <f>CONCATENATE("0130007413","")</f>
        <v>0130007413</v>
      </c>
      <c r="E555" t="str">
        <f>CONCATENATE("0060801000635       ","")</f>
        <v>0060801000635       </v>
      </c>
      <c r="F555" t="str">
        <f>CONCATENATE("605563905","")</f>
        <v>605563905</v>
      </c>
      <c r="G555" t="s">
        <v>1194</v>
      </c>
      <c r="H555" t="s">
        <v>1200</v>
      </c>
      <c r="I555" t="str">
        <f>CONCATENATE("28-DE-JULIO-883","")</f>
        <v>28-DE-JULIO-883</v>
      </c>
      <c r="J555" t="str">
        <f t="shared" si="70"/>
        <v>080608</v>
      </c>
      <c r="K555" t="s">
        <v>23</v>
      </c>
      <c r="L555" t="s">
        <v>24</v>
      </c>
      <c r="M555" t="str">
        <f t="shared" si="68"/>
        <v>1</v>
      </c>
      <c r="O555" t="str">
        <f t="shared" si="69"/>
        <v>1 </v>
      </c>
      <c r="P555">
        <v>113.05</v>
      </c>
      <c r="Q555" t="s">
        <v>25</v>
      </c>
    </row>
    <row r="556" spans="1:17" ht="12.75">
      <c r="A556" t="s">
        <v>17</v>
      </c>
      <c r="B556" t="s">
        <v>18</v>
      </c>
      <c r="C556" t="s">
        <v>1190</v>
      </c>
      <c r="D556" t="str">
        <f>CONCATENATE("0130004999","")</f>
        <v>0130004999</v>
      </c>
      <c r="E556" t="str">
        <f>CONCATENATE("0060801000690       ","")</f>
        <v>0060801000690       </v>
      </c>
      <c r="F556" t="str">
        <f>CONCATENATE("605554571","")</f>
        <v>605554571</v>
      </c>
      <c r="G556" t="s">
        <v>1194</v>
      </c>
      <c r="H556" t="s">
        <v>1201</v>
      </c>
      <c r="I556" t="str">
        <f>CONCATENATE("28-DE-JULIO-S-N","")</f>
        <v>28-DE-JULIO-S-N</v>
      </c>
      <c r="J556" t="str">
        <f t="shared" si="70"/>
        <v>080608</v>
      </c>
      <c r="K556" t="s">
        <v>23</v>
      </c>
      <c r="L556" t="s">
        <v>24</v>
      </c>
      <c r="M556" t="str">
        <f t="shared" si="68"/>
        <v>1</v>
      </c>
      <c r="O556" t="str">
        <f t="shared" si="69"/>
        <v>1 </v>
      </c>
      <c r="P556">
        <v>83.9</v>
      </c>
      <c r="Q556" t="s">
        <v>25</v>
      </c>
    </row>
    <row r="557" spans="1:17" ht="12.75">
      <c r="A557" t="s">
        <v>17</v>
      </c>
      <c r="B557" t="s">
        <v>18</v>
      </c>
      <c r="C557" t="s">
        <v>1190</v>
      </c>
      <c r="D557" t="str">
        <f>CONCATENATE("0130005020","")</f>
        <v>0130005020</v>
      </c>
      <c r="E557" t="str">
        <f>CONCATENATE("0060801000860       ","")</f>
        <v>0060801000860       </v>
      </c>
      <c r="F557" t="str">
        <f>CONCATENATE("605115716","")</f>
        <v>605115716</v>
      </c>
      <c r="G557" t="s">
        <v>1194</v>
      </c>
      <c r="H557" t="s">
        <v>1202</v>
      </c>
      <c r="I557" t="str">
        <f>CONCATENATE("28-DE-JULIO-831","")</f>
        <v>28-DE-JULIO-831</v>
      </c>
      <c r="J557" t="str">
        <f t="shared" si="70"/>
        <v>080608</v>
      </c>
      <c r="K557" t="s">
        <v>23</v>
      </c>
      <c r="L557" t="s">
        <v>24</v>
      </c>
      <c r="M557" t="str">
        <f t="shared" si="68"/>
        <v>1</v>
      </c>
      <c r="O557" t="str">
        <f t="shared" si="69"/>
        <v>1 </v>
      </c>
      <c r="P557">
        <v>32.85</v>
      </c>
      <c r="Q557" t="s">
        <v>25</v>
      </c>
    </row>
    <row r="558" spans="1:17" ht="12.75">
      <c r="A558" t="s">
        <v>17</v>
      </c>
      <c r="B558" t="s">
        <v>18</v>
      </c>
      <c r="C558" t="s">
        <v>1190</v>
      </c>
      <c r="D558" t="str">
        <f>CONCATENATE("0130005038","")</f>
        <v>0130005038</v>
      </c>
      <c r="E558" t="str">
        <f>CONCATENATE("0060801001025       ","")</f>
        <v>0060801001025       </v>
      </c>
      <c r="F558" t="str">
        <f>CONCATENATE("605554578","")</f>
        <v>605554578</v>
      </c>
      <c r="G558" t="s">
        <v>1203</v>
      </c>
      <c r="H558" t="s">
        <v>1204</v>
      </c>
      <c r="I558" t="s">
        <v>1205</v>
      </c>
      <c r="J558" t="str">
        <f t="shared" si="70"/>
        <v>080608</v>
      </c>
      <c r="K558" t="s">
        <v>23</v>
      </c>
      <c r="L558" t="s">
        <v>24</v>
      </c>
      <c r="M558" t="str">
        <f t="shared" si="68"/>
        <v>1</v>
      </c>
      <c r="O558" t="str">
        <f t="shared" si="69"/>
        <v>1 </v>
      </c>
      <c r="P558">
        <v>26</v>
      </c>
      <c r="Q558" t="s">
        <v>25</v>
      </c>
    </row>
    <row r="559" spans="1:17" ht="12.75">
      <c r="A559" t="s">
        <v>17</v>
      </c>
      <c r="B559" t="s">
        <v>18</v>
      </c>
      <c r="C559" t="s">
        <v>1190</v>
      </c>
      <c r="D559" t="str">
        <f>CONCATENATE("0130005042","")</f>
        <v>0130005042</v>
      </c>
      <c r="E559" t="str">
        <f>CONCATENATE("0060801001045       ","")</f>
        <v>0060801001045       </v>
      </c>
      <c r="F559" t="str">
        <f>CONCATENATE("605355162","")</f>
        <v>605355162</v>
      </c>
      <c r="G559" t="s">
        <v>1194</v>
      </c>
      <c r="H559" t="s">
        <v>1206</v>
      </c>
      <c r="I559" t="s">
        <v>1205</v>
      </c>
      <c r="J559" t="str">
        <f t="shared" si="70"/>
        <v>080608</v>
      </c>
      <c r="K559" t="s">
        <v>23</v>
      </c>
      <c r="L559" t="s">
        <v>24</v>
      </c>
      <c r="M559" t="str">
        <f t="shared" si="68"/>
        <v>1</v>
      </c>
      <c r="O559" t="str">
        <f t="shared" si="69"/>
        <v>1 </v>
      </c>
      <c r="P559">
        <v>30</v>
      </c>
      <c r="Q559" t="s">
        <v>25</v>
      </c>
    </row>
    <row r="560" spans="1:17" ht="12.75">
      <c r="A560" t="s">
        <v>17</v>
      </c>
      <c r="B560" t="s">
        <v>18</v>
      </c>
      <c r="C560" t="s">
        <v>1190</v>
      </c>
      <c r="D560" t="str">
        <f>CONCATENATE("0130005056","")</f>
        <v>0130005056</v>
      </c>
      <c r="E560" t="str">
        <f>CONCATENATE("0060801001130       ","")</f>
        <v>0060801001130       </v>
      </c>
      <c r="F560" t="str">
        <f>CONCATENATE("605397877","")</f>
        <v>605397877</v>
      </c>
      <c r="G560" t="s">
        <v>1194</v>
      </c>
      <c r="H560" t="s">
        <v>1207</v>
      </c>
      <c r="I560" t="s">
        <v>1208</v>
      </c>
      <c r="J560" t="str">
        <f t="shared" si="70"/>
        <v>080608</v>
      </c>
      <c r="K560" t="s">
        <v>23</v>
      </c>
      <c r="L560" t="s">
        <v>24</v>
      </c>
      <c r="M560" t="str">
        <f t="shared" si="68"/>
        <v>1</v>
      </c>
      <c r="O560" t="str">
        <f t="shared" si="69"/>
        <v>1 </v>
      </c>
      <c r="P560">
        <v>27.5</v>
      </c>
      <c r="Q560" t="s">
        <v>25</v>
      </c>
    </row>
    <row r="561" spans="1:17" ht="12.75">
      <c r="A561" t="s">
        <v>17</v>
      </c>
      <c r="B561" t="s">
        <v>18</v>
      </c>
      <c r="C561" t="s">
        <v>1190</v>
      </c>
      <c r="D561" t="str">
        <f>CONCATENATE("0130005091","")</f>
        <v>0130005091</v>
      </c>
      <c r="E561" t="str">
        <f>CONCATENATE("0060801001387       ","")</f>
        <v>0060801001387       </v>
      </c>
      <c r="F561" t="str">
        <f>CONCATENATE("605355167","")</f>
        <v>605355167</v>
      </c>
      <c r="G561" t="s">
        <v>1203</v>
      </c>
      <c r="H561" t="s">
        <v>1209</v>
      </c>
      <c r="I561" t="s">
        <v>1210</v>
      </c>
      <c r="J561" t="str">
        <f t="shared" si="70"/>
        <v>080608</v>
      </c>
      <c r="K561" t="s">
        <v>23</v>
      </c>
      <c r="L561" t="s">
        <v>24</v>
      </c>
      <c r="M561" t="str">
        <f t="shared" si="68"/>
        <v>1</v>
      </c>
      <c r="O561" t="str">
        <f t="shared" si="69"/>
        <v>1 </v>
      </c>
      <c r="P561">
        <v>42.55</v>
      </c>
      <c r="Q561" t="s">
        <v>25</v>
      </c>
    </row>
    <row r="562" spans="1:17" ht="12.75">
      <c r="A562" t="s">
        <v>17</v>
      </c>
      <c r="B562" t="s">
        <v>18</v>
      </c>
      <c r="C562" t="s">
        <v>1190</v>
      </c>
      <c r="D562" t="str">
        <f>CONCATENATE("0130005108","")</f>
        <v>0130005108</v>
      </c>
      <c r="E562" t="str">
        <f>CONCATENATE("0060801001471       ","")</f>
        <v>0060801001471       </v>
      </c>
      <c r="F562" t="str">
        <f>CONCATENATE("605355158","")</f>
        <v>605355158</v>
      </c>
      <c r="G562" t="s">
        <v>1203</v>
      </c>
      <c r="H562" t="s">
        <v>1211</v>
      </c>
      <c r="I562" t="s">
        <v>1212</v>
      </c>
      <c r="J562" t="str">
        <f t="shared" si="70"/>
        <v>080608</v>
      </c>
      <c r="K562" t="s">
        <v>23</v>
      </c>
      <c r="L562" t="s">
        <v>24</v>
      </c>
      <c r="M562" t="str">
        <f t="shared" si="68"/>
        <v>1</v>
      </c>
      <c r="O562" t="str">
        <f t="shared" si="69"/>
        <v>1 </v>
      </c>
      <c r="P562">
        <v>105.5</v>
      </c>
      <c r="Q562" t="s">
        <v>25</v>
      </c>
    </row>
    <row r="563" spans="1:17" ht="12.75">
      <c r="A563" t="s">
        <v>17</v>
      </c>
      <c r="B563" t="s">
        <v>18</v>
      </c>
      <c r="C563" t="s">
        <v>1190</v>
      </c>
      <c r="D563" t="str">
        <f>CONCATENATE("0130005111","")</f>
        <v>0130005111</v>
      </c>
      <c r="E563" t="str">
        <f>CONCATENATE("0060801001489       ","")</f>
        <v>0060801001489       </v>
      </c>
      <c r="F563" t="str">
        <f>CONCATENATE("605555312","")</f>
        <v>605555312</v>
      </c>
      <c r="G563" t="s">
        <v>1203</v>
      </c>
      <c r="H563" t="s">
        <v>1213</v>
      </c>
      <c r="I563" t="s">
        <v>1214</v>
      </c>
      <c r="J563" t="str">
        <f t="shared" si="70"/>
        <v>080608</v>
      </c>
      <c r="K563" t="s">
        <v>23</v>
      </c>
      <c r="L563" t="s">
        <v>24</v>
      </c>
      <c r="M563" t="str">
        <f t="shared" si="68"/>
        <v>1</v>
      </c>
      <c r="O563" t="str">
        <f t="shared" si="69"/>
        <v>1 </v>
      </c>
      <c r="P563">
        <v>32.9</v>
      </c>
      <c r="Q563" t="s">
        <v>25</v>
      </c>
    </row>
    <row r="564" spans="1:17" ht="12.75">
      <c r="A564" t="s">
        <v>17</v>
      </c>
      <c r="B564" t="s">
        <v>18</v>
      </c>
      <c r="C564" t="s">
        <v>1190</v>
      </c>
      <c r="D564" t="str">
        <f>CONCATENATE("0130005150","")</f>
        <v>0130005150</v>
      </c>
      <c r="E564" t="str">
        <f>CONCATENATE("0060802000005       ","")</f>
        <v>0060802000005       </v>
      </c>
      <c r="F564" t="str">
        <f>CONCATENATE("606805258","")</f>
        <v>606805258</v>
      </c>
      <c r="G564" t="s">
        <v>1203</v>
      </c>
      <c r="H564" t="s">
        <v>1215</v>
      </c>
      <c r="I564" t="s">
        <v>1216</v>
      </c>
      <c r="J564" t="str">
        <f t="shared" si="70"/>
        <v>080608</v>
      </c>
      <c r="K564" t="s">
        <v>23</v>
      </c>
      <c r="L564" t="s">
        <v>24</v>
      </c>
      <c r="M564" t="str">
        <f t="shared" si="68"/>
        <v>1</v>
      </c>
      <c r="O564" t="str">
        <f t="shared" si="69"/>
        <v>1 </v>
      </c>
      <c r="P564">
        <v>12.35</v>
      </c>
      <c r="Q564" t="s">
        <v>25</v>
      </c>
    </row>
    <row r="565" spans="1:17" ht="12.75">
      <c r="A565" t="s">
        <v>17</v>
      </c>
      <c r="B565" t="s">
        <v>18</v>
      </c>
      <c r="C565" t="s">
        <v>1190</v>
      </c>
      <c r="D565" t="str">
        <f>CONCATENATE("0130005177","")</f>
        <v>0130005177</v>
      </c>
      <c r="E565" t="str">
        <f>CONCATENATE("0060802000190       ","")</f>
        <v>0060802000190       </v>
      </c>
      <c r="F565" t="str">
        <f>CONCATENATE("605113000","")</f>
        <v>605113000</v>
      </c>
      <c r="G565" t="s">
        <v>1191</v>
      </c>
      <c r="H565" t="s">
        <v>1217</v>
      </c>
      <c r="I565" t="s">
        <v>505</v>
      </c>
      <c r="J565" t="str">
        <f t="shared" si="70"/>
        <v>080608</v>
      </c>
      <c r="K565" t="s">
        <v>23</v>
      </c>
      <c r="L565" t="s">
        <v>24</v>
      </c>
      <c r="M565" t="str">
        <f t="shared" si="68"/>
        <v>1</v>
      </c>
      <c r="O565" t="str">
        <f t="shared" si="69"/>
        <v>1 </v>
      </c>
      <c r="P565">
        <v>520</v>
      </c>
      <c r="Q565" t="s">
        <v>25</v>
      </c>
    </row>
    <row r="566" spans="1:17" ht="12.75">
      <c r="A566" t="s">
        <v>17</v>
      </c>
      <c r="B566" t="s">
        <v>18</v>
      </c>
      <c r="C566" t="s">
        <v>1190</v>
      </c>
      <c r="D566" t="str">
        <f>CONCATENATE("0130011273","")</f>
        <v>0130011273</v>
      </c>
      <c r="E566" t="str">
        <f>CONCATENATE("0060802000225       ","")</f>
        <v>0060802000225       </v>
      </c>
      <c r="F566" t="str">
        <f>CONCATENATE("606746895","")</f>
        <v>606746895</v>
      </c>
      <c r="G566" t="s">
        <v>1191</v>
      </c>
      <c r="H566" t="s">
        <v>1218</v>
      </c>
      <c r="I566" t="s">
        <v>505</v>
      </c>
      <c r="J566" t="str">
        <f t="shared" si="70"/>
        <v>080608</v>
      </c>
      <c r="K566" t="s">
        <v>23</v>
      </c>
      <c r="L566" t="s">
        <v>24</v>
      </c>
      <c r="M566" t="str">
        <f t="shared" si="68"/>
        <v>1</v>
      </c>
      <c r="O566" t="str">
        <f t="shared" si="69"/>
        <v>1 </v>
      </c>
      <c r="P566">
        <v>35.9</v>
      </c>
      <c r="Q566" t="s">
        <v>25</v>
      </c>
    </row>
    <row r="567" spans="1:17" ht="12.75">
      <c r="A567" t="s">
        <v>17</v>
      </c>
      <c r="B567" t="s">
        <v>18</v>
      </c>
      <c r="C567" t="s">
        <v>1190</v>
      </c>
      <c r="D567" t="str">
        <f>CONCATENATE("0130012617","")</f>
        <v>0130012617</v>
      </c>
      <c r="E567" t="str">
        <f>CONCATENATE("0060802000275       ","")</f>
        <v>0060802000275       </v>
      </c>
      <c r="F567" t="str">
        <f>CONCATENATE("0605934065","")</f>
        <v>0605934065</v>
      </c>
      <c r="G567" t="s">
        <v>1191</v>
      </c>
      <c r="H567" t="s">
        <v>1219</v>
      </c>
      <c r="I567" t="s">
        <v>1220</v>
      </c>
      <c r="J567" t="str">
        <f t="shared" si="70"/>
        <v>080608</v>
      </c>
      <c r="K567" t="s">
        <v>23</v>
      </c>
      <c r="L567" t="s">
        <v>24</v>
      </c>
      <c r="M567" t="str">
        <f t="shared" si="68"/>
        <v>1</v>
      </c>
      <c r="O567" t="str">
        <f t="shared" si="69"/>
        <v>1 </v>
      </c>
      <c r="P567">
        <v>12.4</v>
      </c>
      <c r="Q567" t="s">
        <v>25</v>
      </c>
    </row>
    <row r="568" spans="1:17" ht="12.75">
      <c r="A568" t="s">
        <v>17</v>
      </c>
      <c r="B568" t="s">
        <v>18</v>
      </c>
      <c r="C568" t="s">
        <v>1190</v>
      </c>
      <c r="D568" t="str">
        <f>CONCATENATE("0130005207","")</f>
        <v>0130005207</v>
      </c>
      <c r="E568" t="str">
        <f>CONCATENATE("0060802000367       ","")</f>
        <v>0060802000367       </v>
      </c>
      <c r="F568" t="str">
        <f>CONCATENATE("606744736","")</f>
        <v>606744736</v>
      </c>
      <c r="G568" t="s">
        <v>1191</v>
      </c>
      <c r="H568" t="s">
        <v>1221</v>
      </c>
      <c r="I568" t="s">
        <v>892</v>
      </c>
      <c r="J568" t="str">
        <f t="shared" si="70"/>
        <v>080608</v>
      </c>
      <c r="K568" t="s">
        <v>23</v>
      </c>
      <c r="L568" t="s">
        <v>24</v>
      </c>
      <c r="M568" t="str">
        <f t="shared" si="68"/>
        <v>1</v>
      </c>
      <c r="O568" t="str">
        <f t="shared" si="69"/>
        <v>1 </v>
      </c>
      <c r="P568">
        <v>29.5</v>
      </c>
      <c r="Q568" t="s">
        <v>25</v>
      </c>
    </row>
    <row r="569" spans="1:17" ht="12.75">
      <c r="A569" t="s">
        <v>17</v>
      </c>
      <c r="B569" t="s">
        <v>18</v>
      </c>
      <c r="C569" t="s">
        <v>1190</v>
      </c>
      <c r="D569" t="str">
        <f>CONCATENATE("0040026991","")</f>
        <v>0040026991</v>
      </c>
      <c r="E569" t="str">
        <f>CONCATENATE("0060802000442       ","")</f>
        <v>0060802000442       </v>
      </c>
      <c r="F569" t="str">
        <f>CONCATENATE("2128434","")</f>
        <v>2128434</v>
      </c>
      <c r="G569" t="s">
        <v>1191</v>
      </c>
      <c r="H569" t="s">
        <v>1222</v>
      </c>
      <c r="I569" t="s">
        <v>1223</v>
      </c>
      <c r="J569" t="str">
        <f t="shared" si="70"/>
        <v>080608</v>
      </c>
      <c r="K569" t="s">
        <v>23</v>
      </c>
      <c r="L569" t="s">
        <v>24</v>
      </c>
      <c r="M569" t="str">
        <f t="shared" si="68"/>
        <v>1</v>
      </c>
      <c r="O569" t="str">
        <f t="shared" si="69"/>
        <v>1 </v>
      </c>
      <c r="P569">
        <v>35.55</v>
      </c>
      <c r="Q569" t="s">
        <v>25</v>
      </c>
    </row>
    <row r="570" spans="1:17" ht="12.75">
      <c r="A570" t="s">
        <v>17</v>
      </c>
      <c r="B570" t="s">
        <v>18</v>
      </c>
      <c r="C570" t="s">
        <v>1190</v>
      </c>
      <c r="D570" t="str">
        <f>CONCATENATE("0130005240","")</f>
        <v>0130005240</v>
      </c>
      <c r="E570" t="str">
        <f>CONCATENATE("0060802000530       ","")</f>
        <v>0060802000530       </v>
      </c>
      <c r="F570" t="str">
        <f>CONCATENATE("605351334","")</f>
        <v>605351334</v>
      </c>
      <c r="G570" t="s">
        <v>1203</v>
      </c>
      <c r="H570" t="s">
        <v>1224</v>
      </c>
      <c r="I570" t="s">
        <v>1225</v>
      </c>
      <c r="J570" t="str">
        <f t="shared" si="70"/>
        <v>080608</v>
      </c>
      <c r="K570" t="s">
        <v>23</v>
      </c>
      <c r="L570" t="s">
        <v>24</v>
      </c>
      <c r="M570" t="str">
        <f t="shared" si="68"/>
        <v>1</v>
      </c>
      <c r="O570" t="str">
        <f t="shared" si="69"/>
        <v>1 </v>
      </c>
      <c r="P570">
        <v>54.75</v>
      </c>
      <c r="Q570" t="s">
        <v>25</v>
      </c>
    </row>
    <row r="571" spans="1:17" ht="12.75">
      <c r="A571" t="s">
        <v>17</v>
      </c>
      <c r="B571" t="s">
        <v>18</v>
      </c>
      <c r="C571" t="s">
        <v>1190</v>
      </c>
      <c r="D571" t="str">
        <f>CONCATENATE("0130016669","")</f>
        <v>0130016669</v>
      </c>
      <c r="E571" t="str">
        <f>CONCATENATE("0060802000596       ","")</f>
        <v>0060802000596       </v>
      </c>
      <c r="F571" t="str">
        <f>CONCATENATE("605623331","")</f>
        <v>605623331</v>
      </c>
      <c r="G571" t="s">
        <v>1203</v>
      </c>
      <c r="H571" t="s">
        <v>1226</v>
      </c>
      <c r="I571" t="s">
        <v>1227</v>
      </c>
      <c r="J571" t="str">
        <f t="shared" si="70"/>
        <v>080608</v>
      </c>
      <c r="K571" t="s">
        <v>23</v>
      </c>
      <c r="L571" t="s">
        <v>24</v>
      </c>
      <c r="M571" t="str">
        <f t="shared" si="68"/>
        <v>1</v>
      </c>
      <c r="O571" t="str">
        <f t="shared" si="69"/>
        <v>1 </v>
      </c>
      <c r="P571">
        <v>14.55</v>
      </c>
      <c r="Q571" t="s">
        <v>25</v>
      </c>
    </row>
    <row r="572" spans="1:17" ht="12.75">
      <c r="A572" t="s">
        <v>17</v>
      </c>
      <c r="B572" t="s">
        <v>18</v>
      </c>
      <c r="C572" t="s">
        <v>1190</v>
      </c>
      <c r="D572" t="str">
        <f>CONCATENATE("0130005281","")</f>
        <v>0130005281</v>
      </c>
      <c r="E572" t="str">
        <f>CONCATENATE("0060802000845       ","")</f>
        <v>0060802000845       </v>
      </c>
      <c r="F572" t="str">
        <f>CONCATENATE("605115719","")</f>
        <v>605115719</v>
      </c>
      <c r="G572" t="s">
        <v>1191</v>
      </c>
      <c r="H572" t="s">
        <v>1228</v>
      </c>
      <c r="I572" t="s">
        <v>1229</v>
      </c>
      <c r="J572" t="str">
        <f t="shared" si="70"/>
        <v>080608</v>
      </c>
      <c r="K572" t="s">
        <v>23</v>
      </c>
      <c r="L572" t="s">
        <v>24</v>
      </c>
      <c r="M572" t="str">
        <f t="shared" si="68"/>
        <v>1</v>
      </c>
      <c r="O572" t="str">
        <f t="shared" si="69"/>
        <v>1 </v>
      </c>
      <c r="P572">
        <v>103.25</v>
      </c>
      <c r="Q572" t="s">
        <v>25</v>
      </c>
    </row>
    <row r="573" spans="1:17" ht="12.75">
      <c r="A573" t="s">
        <v>17</v>
      </c>
      <c r="B573" t="s">
        <v>18</v>
      </c>
      <c r="C573" t="s">
        <v>1190</v>
      </c>
      <c r="D573" t="str">
        <f>CONCATENATE("0130005287","")</f>
        <v>0130005287</v>
      </c>
      <c r="E573" t="str">
        <f>CONCATENATE("0060802000880       ","")</f>
        <v>0060802000880       </v>
      </c>
      <c r="F573" t="str">
        <f>CONCATENATE("605554569","")</f>
        <v>605554569</v>
      </c>
      <c r="G573" t="s">
        <v>1203</v>
      </c>
      <c r="H573" t="s">
        <v>1230</v>
      </c>
      <c r="I573" t="s">
        <v>1231</v>
      </c>
      <c r="J573" t="str">
        <f t="shared" si="70"/>
        <v>080608</v>
      </c>
      <c r="K573" t="s">
        <v>23</v>
      </c>
      <c r="L573" t="s">
        <v>24</v>
      </c>
      <c r="M573" t="str">
        <f t="shared" si="68"/>
        <v>1</v>
      </c>
      <c r="O573" t="str">
        <f t="shared" si="69"/>
        <v>1 </v>
      </c>
      <c r="P573">
        <v>37.3</v>
      </c>
      <c r="Q573" t="s">
        <v>25</v>
      </c>
    </row>
    <row r="574" spans="1:17" ht="12.75">
      <c r="A574" t="s">
        <v>17</v>
      </c>
      <c r="B574" t="s">
        <v>18</v>
      </c>
      <c r="C574" t="s">
        <v>1190</v>
      </c>
      <c r="D574" t="str">
        <f>CONCATENATE("0130013598","")</f>
        <v>0130013598</v>
      </c>
      <c r="E574" t="str">
        <f>CONCATENATE("0060802000883       ","")</f>
        <v>0060802000883       </v>
      </c>
      <c r="F574" t="str">
        <f>CONCATENATE("0606671807","")</f>
        <v>0606671807</v>
      </c>
      <c r="G574" t="s">
        <v>1203</v>
      </c>
      <c r="H574" t="s">
        <v>1232</v>
      </c>
      <c r="I574" t="s">
        <v>260</v>
      </c>
      <c r="J574" t="str">
        <f t="shared" si="70"/>
        <v>080608</v>
      </c>
      <c r="K574" t="s">
        <v>23</v>
      </c>
      <c r="L574" t="s">
        <v>24</v>
      </c>
      <c r="M574" t="str">
        <f t="shared" si="68"/>
        <v>1</v>
      </c>
      <c r="O574" t="str">
        <f t="shared" si="69"/>
        <v>1 </v>
      </c>
      <c r="P574">
        <v>71.45</v>
      </c>
      <c r="Q574" t="s">
        <v>25</v>
      </c>
    </row>
    <row r="575" spans="1:17" ht="12.75">
      <c r="A575" t="s">
        <v>17</v>
      </c>
      <c r="B575" t="s">
        <v>18</v>
      </c>
      <c r="C575" t="s">
        <v>1190</v>
      </c>
      <c r="D575" t="str">
        <f>CONCATENATE("0130005288","")</f>
        <v>0130005288</v>
      </c>
      <c r="E575" t="str">
        <f>CONCATENATE("0060802000885       ","")</f>
        <v>0060802000885       </v>
      </c>
      <c r="F575" t="str">
        <f>CONCATENATE("605554562","")</f>
        <v>605554562</v>
      </c>
      <c r="G575" t="s">
        <v>1203</v>
      </c>
      <c r="H575" t="s">
        <v>1233</v>
      </c>
      <c r="I575" t="s">
        <v>1234</v>
      </c>
      <c r="J575" t="str">
        <f t="shared" si="70"/>
        <v>080608</v>
      </c>
      <c r="K575" t="s">
        <v>23</v>
      </c>
      <c r="L575" t="s">
        <v>24</v>
      </c>
      <c r="M575" t="str">
        <f t="shared" si="68"/>
        <v>1</v>
      </c>
      <c r="O575" t="str">
        <f t="shared" si="69"/>
        <v>1 </v>
      </c>
      <c r="P575">
        <v>445.1</v>
      </c>
      <c r="Q575" t="s">
        <v>25</v>
      </c>
    </row>
    <row r="576" spans="1:17" ht="12.75">
      <c r="A576" t="s">
        <v>17</v>
      </c>
      <c r="B576" t="s">
        <v>18</v>
      </c>
      <c r="C576" t="s">
        <v>1190</v>
      </c>
      <c r="D576" t="str">
        <f>CONCATENATE("0130011967","")</f>
        <v>0130011967</v>
      </c>
      <c r="E576" t="str">
        <f>CONCATENATE("0060802000913       ","")</f>
        <v>0060802000913       </v>
      </c>
      <c r="F576" t="str">
        <f>CONCATENATE("606746911","")</f>
        <v>606746911</v>
      </c>
      <c r="G576" t="s">
        <v>1203</v>
      </c>
      <c r="H576" t="s">
        <v>1235</v>
      </c>
      <c r="I576" t="s">
        <v>1236</v>
      </c>
      <c r="J576" t="str">
        <f t="shared" si="70"/>
        <v>080608</v>
      </c>
      <c r="K576" t="s">
        <v>23</v>
      </c>
      <c r="L576" t="s">
        <v>24</v>
      </c>
      <c r="M576" t="str">
        <f t="shared" si="68"/>
        <v>1</v>
      </c>
      <c r="O576" t="str">
        <f t="shared" si="69"/>
        <v>1 </v>
      </c>
      <c r="P576">
        <v>25.45</v>
      </c>
      <c r="Q576" t="s">
        <v>25</v>
      </c>
    </row>
    <row r="577" spans="1:17" ht="12.75">
      <c r="A577" t="s">
        <v>17</v>
      </c>
      <c r="B577" t="s">
        <v>18</v>
      </c>
      <c r="C577" t="s">
        <v>1190</v>
      </c>
      <c r="D577" t="str">
        <f>CONCATENATE("0130007278","")</f>
        <v>0130007278</v>
      </c>
      <c r="E577" t="str">
        <f>CONCATENATE("0060802001091       ","")</f>
        <v>0060802001091       </v>
      </c>
      <c r="F577" t="str">
        <f>CONCATENATE("13020875","")</f>
        <v>13020875</v>
      </c>
      <c r="G577" t="s">
        <v>1203</v>
      </c>
      <c r="H577" t="s">
        <v>1237</v>
      </c>
      <c r="I577" t="s">
        <v>1214</v>
      </c>
      <c r="J577" t="str">
        <f t="shared" si="70"/>
        <v>080608</v>
      </c>
      <c r="K577" t="s">
        <v>23</v>
      </c>
      <c r="L577" t="s">
        <v>24</v>
      </c>
      <c r="M577" t="str">
        <f>CONCATENATE("3","")</f>
        <v>3</v>
      </c>
      <c r="O577" t="str">
        <f t="shared" si="69"/>
        <v>1 </v>
      </c>
      <c r="P577">
        <v>1015.15</v>
      </c>
      <c r="Q577" t="s">
        <v>124</v>
      </c>
    </row>
    <row r="578" spans="1:17" ht="12.75">
      <c r="A578" t="s">
        <v>17</v>
      </c>
      <c r="B578" t="s">
        <v>18</v>
      </c>
      <c r="C578" t="s">
        <v>1190</v>
      </c>
      <c r="D578" t="str">
        <f>CONCATENATE("0130005329","")</f>
        <v>0130005329</v>
      </c>
      <c r="E578" t="str">
        <f>CONCATENATE("0060802001100       ","")</f>
        <v>0060802001100       </v>
      </c>
      <c r="F578" t="str">
        <f>CONCATENATE("01938678","")</f>
        <v>01938678</v>
      </c>
      <c r="G578" t="s">
        <v>1203</v>
      </c>
      <c r="H578" t="s">
        <v>1238</v>
      </c>
      <c r="I578" t="s">
        <v>258</v>
      </c>
      <c r="J578" t="str">
        <f t="shared" si="70"/>
        <v>080608</v>
      </c>
      <c r="K578" t="s">
        <v>23</v>
      </c>
      <c r="L578" t="s">
        <v>24</v>
      </c>
      <c r="M578" t="str">
        <f>CONCATENATE("3","")</f>
        <v>3</v>
      </c>
      <c r="O578" t="str">
        <f t="shared" si="69"/>
        <v>1 </v>
      </c>
      <c r="P578">
        <v>22.55</v>
      </c>
      <c r="Q578" t="s">
        <v>124</v>
      </c>
    </row>
    <row r="579" spans="1:17" ht="12.75">
      <c r="A579" t="s">
        <v>17</v>
      </c>
      <c r="B579" t="s">
        <v>18</v>
      </c>
      <c r="C579" t="s">
        <v>1190</v>
      </c>
      <c r="D579" t="str">
        <f>CONCATENATE("0130009003","")</f>
        <v>0130009003</v>
      </c>
      <c r="E579" t="str">
        <f>CONCATENATE("0060802001177       ","")</f>
        <v>0060802001177       </v>
      </c>
      <c r="F579" t="str">
        <f>CONCATENATE("605934828","")</f>
        <v>605934828</v>
      </c>
      <c r="G579" t="s">
        <v>1203</v>
      </c>
      <c r="H579" t="s">
        <v>1239</v>
      </c>
      <c r="I579" t="s">
        <v>1240</v>
      </c>
      <c r="J579" t="str">
        <f t="shared" si="70"/>
        <v>080608</v>
      </c>
      <c r="K579" t="s">
        <v>23</v>
      </c>
      <c r="L579" t="s">
        <v>24</v>
      </c>
      <c r="M579" t="str">
        <f>CONCATENATE("1","")</f>
        <v>1</v>
      </c>
      <c r="O579" t="str">
        <f t="shared" si="69"/>
        <v>1 </v>
      </c>
      <c r="P579">
        <v>31.7</v>
      </c>
      <c r="Q579" t="s">
        <v>25</v>
      </c>
    </row>
    <row r="580" spans="1:17" ht="12.75">
      <c r="A580" t="s">
        <v>17</v>
      </c>
      <c r="B580" t="s">
        <v>18</v>
      </c>
      <c r="C580" t="s">
        <v>1190</v>
      </c>
      <c r="D580" t="str">
        <f>CONCATENATE("0130005378","")</f>
        <v>0130005378</v>
      </c>
      <c r="E580" t="str">
        <f>CONCATENATE("0060802001405       ","")</f>
        <v>0060802001405       </v>
      </c>
      <c r="F580" t="str">
        <f>CONCATENATE("605114684","")</f>
        <v>605114684</v>
      </c>
      <c r="G580" t="s">
        <v>1191</v>
      </c>
      <c r="H580" t="s">
        <v>1241</v>
      </c>
      <c r="I580" t="s">
        <v>1242</v>
      </c>
      <c r="J580" t="str">
        <f t="shared" si="70"/>
        <v>080608</v>
      </c>
      <c r="K580" t="s">
        <v>23</v>
      </c>
      <c r="L580" t="s">
        <v>24</v>
      </c>
      <c r="M580" t="str">
        <f>CONCATENATE("1","")</f>
        <v>1</v>
      </c>
      <c r="O580" t="str">
        <f t="shared" si="69"/>
        <v>1 </v>
      </c>
      <c r="P580">
        <v>510.3</v>
      </c>
      <c r="Q580" t="s">
        <v>25</v>
      </c>
    </row>
    <row r="581" spans="1:17" ht="12.75">
      <c r="A581" t="s">
        <v>17</v>
      </c>
      <c r="B581" t="s">
        <v>18</v>
      </c>
      <c r="C581" t="s">
        <v>1190</v>
      </c>
      <c r="D581" t="str">
        <f>CONCATENATE("0130005392","")</f>
        <v>0130005392</v>
      </c>
      <c r="E581" t="str">
        <f>CONCATENATE("0060802001483       ","")</f>
        <v>0060802001483       </v>
      </c>
      <c r="F581" t="str">
        <f>CONCATENATE("605114660","")</f>
        <v>605114660</v>
      </c>
      <c r="G581" t="s">
        <v>1194</v>
      </c>
      <c r="H581" t="s">
        <v>1243</v>
      </c>
      <c r="I581" t="s">
        <v>1244</v>
      </c>
      <c r="J581" t="str">
        <f t="shared" si="70"/>
        <v>080608</v>
      </c>
      <c r="K581" t="s">
        <v>23</v>
      </c>
      <c r="L581" t="s">
        <v>24</v>
      </c>
      <c r="M581" t="str">
        <f>CONCATENATE("1","")</f>
        <v>1</v>
      </c>
      <c r="O581" t="str">
        <f t="shared" si="69"/>
        <v>1 </v>
      </c>
      <c r="P581">
        <v>17.2</v>
      </c>
      <c r="Q581" t="s">
        <v>25</v>
      </c>
    </row>
    <row r="582" spans="1:17" ht="12.75">
      <c r="A582" t="s">
        <v>17</v>
      </c>
      <c r="B582" t="s">
        <v>18</v>
      </c>
      <c r="C582" t="s">
        <v>1190</v>
      </c>
      <c r="D582" t="str">
        <f>CONCATENATE("0130005425","")</f>
        <v>0130005425</v>
      </c>
      <c r="E582" t="str">
        <f>CONCATENATE("0060802001676       ","")</f>
        <v>0060802001676       </v>
      </c>
      <c r="F582" t="str">
        <f>CONCATENATE("112460","")</f>
        <v>112460</v>
      </c>
      <c r="G582" t="s">
        <v>1245</v>
      </c>
      <c r="H582" t="s">
        <v>1246</v>
      </c>
      <c r="I582" t="s">
        <v>1247</v>
      </c>
      <c r="J582" t="str">
        <f t="shared" si="70"/>
        <v>080608</v>
      </c>
      <c r="K582" t="s">
        <v>23</v>
      </c>
      <c r="L582" t="s">
        <v>24</v>
      </c>
      <c r="M582" t="str">
        <f>CONCATENATE("3","")</f>
        <v>3</v>
      </c>
      <c r="O582" t="str">
        <f t="shared" si="69"/>
        <v>1 </v>
      </c>
      <c r="P582">
        <v>876.3</v>
      </c>
      <c r="Q582" t="s">
        <v>124</v>
      </c>
    </row>
    <row r="583" spans="1:17" ht="12.75">
      <c r="A583" t="s">
        <v>17</v>
      </c>
      <c r="B583" t="s">
        <v>18</v>
      </c>
      <c r="C583" t="s">
        <v>1190</v>
      </c>
      <c r="D583" t="str">
        <f>CONCATENATE("0130010178","")</f>
        <v>0130010178</v>
      </c>
      <c r="E583" t="str">
        <f>CONCATENATE("0060802003014       ","")</f>
        <v>0060802003014       </v>
      </c>
      <c r="F583" t="str">
        <f>CONCATENATE("605393476","")</f>
        <v>605393476</v>
      </c>
      <c r="G583" t="s">
        <v>1245</v>
      </c>
      <c r="H583" t="s">
        <v>1248</v>
      </c>
      <c r="I583" t="s">
        <v>1249</v>
      </c>
      <c r="J583" t="str">
        <f t="shared" si="70"/>
        <v>080608</v>
      </c>
      <c r="K583" t="s">
        <v>23</v>
      </c>
      <c r="L583" t="s">
        <v>24</v>
      </c>
      <c r="M583" t="str">
        <f aca="true" t="shared" si="71" ref="M583:M626">CONCATENATE("1","")</f>
        <v>1</v>
      </c>
      <c r="O583" t="str">
        <f t="shared" si="69"/>
        <v>1 </v>
      </c>
      <c r="P583">
        <v>12.75</v>
      </c>
      <c r="Q583" t="s">
        <v>25</v>
      </c>
    </row>
    <row r="584" spans="1:17" ht="12.75">
      <c r="A584" t="s">
        <v>17</v>
      </c>
      <c r="B584" t="s">
        <v>18</v>
      </c>
      <c r="C584" t="s">
        <v>1190</v>
      </c>
      <c r="D584" t="str">
        <f>CONCATENATE("0130009104","")</f>
        <v>0130009104</v>
      </c>
      <c r="E584" t="str">
        <f>CONCATENATE("0060802003025       ","")</f>
        <v>0060802003025       </v>
      </c>
      <c r="F584" t="str">
        <f>CONCATENATE("605563638","")</f>
        <v>605563638</v>
      </c>
      <c r="G584" t="s">
        <v>1245</v>
      </c>
      <c r="H584" t="s">
        <v>1250</v>
      </c>
      <c r="I584" t="s">
        <v>1251</v>
      </c>
      <c r="J584" t="str">
        <f t="shared" si="70"/>
        <v>080608</v>
      </c>
      <c r="K584" t="s">
        <v>23</v>
      </c>
      <c r="L584" t="s">
        <v>24</v>
      </c>
      <c r="M584" t="str">
        <f t="shared" si="71"/>
        <v>1</v>
      </c>
      <c r="O584" t="str">
        <f t="shared" si="69"/>
        <v>1 </v>
      </c>
      <c r="P584">
        <v>110.3</v>
      </c>
      <c r="Q584" t="s">
        <v>25</v>
      </c>
    </row>
    <row r="585" spans="1:17" ht="12.75">
      <c r="A585" t="s">
        <v>17</v>
      </c>
      <c r="B585" t="s">
        <v>18</v>
      </c>
      <c r="C585" t="s">
        <v>1190</v>
      </c>
      <c r="D585" t="str">
        <f>CONCATENATE("0130016458","")</f>
        <v>0130016458</v>
      </c>
      <c r="E585" t="str">
        <f>CONCATENATE("0060802003816       ","")</f>
        <v>0060802003816       </v>
      </c>
      <c r="F585" t="str">
        <f>CONCATENATE("789274","")</f>
        <v>789274</v>
      </c>
      <c r="G585" t="s">
        <v>1245</v>
      </c>
      <c r="H585" t="s">
        <v>1252</v>
      </c>
      <c r="I585" t="s">
        <v>1253</v>
      </c>
      <c r="J585" t="str">
        <f t="shared" si="70"/>
        <v>080608</v>
      </c>
      <c r="K585" t="s">
        <v>23</v>
      </c>
      <c r="L585" t="s">
        <v>24</v>
      </c>
      <c r="M585" t="str">
        <f t="shared" si="71"/>
        <v>1</v>
      </c>
      <c r="O585" t="str">
        <f t="shared" si="69"/>
        <v>1 </v>
      </c>
      <c r="P585">
        <v>71.9</v>
      </c>
      <c r="Q585" t="s">
        <v>25</v>
      </c>
    </row>
    <row r="586" spans="1:17" ht="12.75">
      <c r="A586" t="s">
        <v>17</v>
      </c>
      <c r="B586" t="s">
        <v>18</v>
      </c>
      <c r="C586" t="s">
        <v>1190</v>
      </c>
      <c r="D586" t="str">
        <f>CONCATENATE("0130015483","")</f>
        <v>0130015483</v>
      </c>
      <c r="E586" t="str">
        <f>CONCATENATE("0060805000005       ","")</f>
        <v>0060805000005       </v>
      </c>
      <c r="F586" t="str">
        <f>CONCATENATE("605281306","")</f>
        <v>605281306</v>
      </c>
      <c r="G586" t="s">
        <v>1254</v>
      </c>
      <c r="H586" t="s">
        <v>1255</v>
      </c>
      <c r="I586" t="s">
        <v>1256</v>
      </c>
      <c r="J586" t="str">
        <f t="shared" si="70"/>
        <v>080608</v>
      </c>
      <c r="K586" t="s">
        <v>23</v>
      </c>
      <c r="L586" t="s">
        <v>24</v>
      </c>
      <c r="M586" t="str">
        <f t="shared" si="71"/>
        <v>1</v>
      </c>
      <c r="O586" t="str">
        <f t="shared" si="69"/>
        <v>1 </v>
      </c>
      <c r="P586">
        <v>19.2</v>
      </c>
      <c r="Q586" t="s">
        <v>25</v>
      </c>
    </row>
    <row r="587" spans="1:17" ht="12.75">
      <c r="A587" t="s">
        <v>17</v>
      </c>
      <c r="B587" t="s">
        <v>18</v>
      </c>
      <c r="C587" t="s">
        <v>1190</v>
      </c>
      <c r="D587" t="str">
        <f>CONCATENATE("0130013181","")</f>
        <v>0130013181</v>
      </c>
      <c r="E587" t="str">
        <f>CONCATENATE("0060805000010       ","")</f>
        <v>0060805000010       </v>
      </c>
      <c r="F587" t="str">
        <f>CONCATENATE("606799089","")</f>
        <v>606799089</v>
      </c>
      <c r="G587" t="s">
        <v>1254</v>
      </c>
      <c r="H587" t="s">
        <v>1257</v>
      </c>
      <c r="I587" t="s">
        <v>1258</v>
      </c>
      <c r="J587" t="str">
        <f t="shared" si="70"/>
        <v>080608</v>
      </c>
      <c r="K587" t="s">
        <v>23</v>
      </c>
      <c r="L587" t="s">
        <v>24</v>
      </c>
      <c r="M587" t="str">
        <f t="shared" si="71"/>
        <v>1</v>
      </c>
      <c r="O587" t="str">
        <f>CONCATENATE("3 ","")</f>
        <v>3 </v>
      </c>
      <c r="P587">
        <v>111.75</v>
      </c>
      <c r="Q587" t="s">
        <v>25</v>
      </c>
    </row>
    <row r="588" spans="1:17" ht="12.75">
      <c r="A588" t="s">
        <v>17</v>
      </c>
      <c r="B588" t="s">
        <v>18</v>
      </c>
      <c r="C588" t="s">
        <v>1190</v>
      </c>
      <c r="D588" t="str">
        <f>CONCATENATE("0130017436","")</f>
        <v>0130017436</v>
      </c>
      <c r="E588" t="str">
        <f>CONCATENATE("0060805000025       ","")</f>
        <v>0060805000025       </v>
      </c>
      <c r="F588" t="str">
        <f>CONCATENATE("605753217","")</f>
        <v>605753217</v>
      </c>
      <c r="G588" t="s">
        <v>1254</v>
      </c>
      <c r="H588" t="s">
        <v>1259</v>
      </c>
      <c r="I588" t="s">
        <v>1260</v>
      </c>
      <c r="J588" t="str">
        <f t="shared" si="70"/>
        <v>080608</v>
      </c>
      <c r="K588" t="s">
        <v>23</v>
      </c>
      <c r="L588" t="s">
        <v>24</v>
      </c>
      <c r="M588" t="str">
        <f t="shared" si="71"/>
        <v>1</v>
      </c>
      <c r="O588" t="str">
        <f aca="true" t="shared" si="72" ref="O588:O593">CONCATENATE("1 ","")</f>
        <v>1 </v>
      </c>
      <c r="P588">
        <v>11.75</v>
      </c>
      <c r="Q588" t="s">
        <v>25</v>
      </c>
    </row>
    <row r="589" spans="1:17" ht="12.75">
      <c r="A589" t="s">
        <v>17</v>
      </c>
      <c r="B589" t="s">
        <v>18</v>
      </c>
      <c r="C589" t="s">
        <v>1190</v>
      </c>
      <c r="D589" t="str">
        <f>CONCATENATE("0130016346","")</f>
        <v>0130016346</v>
      </c>
      <c r="E589" t="str">
        <f>CONCATENATE("0060809000015       ","")</f>
        <v>0060809000015       </v>
      </c>
      <c r="F589" t="str">
        <f>CONCATENATE("762461","")</f>
        <v>762461</v>
      </c>
      <c r="G589" t="s">
        <v>1261</v>
      </c>
      <c r="H589" t="s">
        <v>1262</v>
      </c>
      <c r="I589" t="s">
        <v>1263</v>
      </c>
      <c r="J589" t="str">
        <f t="shared" si="70"/>
        <v>080608</v>
      </c>
      <c r="K589" t="s">
        <v>23</v>
      </c>
      <c r="L589" t="s">
        <v>24</v>
      </c>
      <c r="M589" t="str">
        <f t="shared" si="71"/>
        <v>1</v>
      </c>
      <c r="O589" t="str">
        <f t="shared" si="72"/>
        <v>1 </v>
      </c>
      <c r="P589">
        <v>14.25</v>
      </c>
      <c r="Q589" t="s">
        <v>25</v>
      </c>
    </row>
    <row r="590" spans="1:17" ht="12.75">
      <c r="A590" t="s">
        <v>17</v>
      </c>
      <c r="B590" t="s">
        <v>18</v>
      </c>
      <c r="C590" t="s">
        <v>1190</v>
      </c>
      <c r="D590" t="str">
        <f>CONCATENATE("0130016003","")</f>
        <v>0130016003</v>
      </c>
      <c r="E590" t="str">
        <f>CONCATENATE("0060809000330       ","")</f>
        <v>0060809000330       </v>
      </c>
      <c r="F590" t="str">
        <f>CONCATENATE("605278913","")</f>
        <v>605278913</v>
      </c>
      <c r="G590" t="s">
        <v>1261</v>
      </c>
      <c r="H590" t="s">
        <v>1264</v>
      </c>
      <c r="I590" t="s">
        <v>1265</v>
      </c>
      <c r="J590" t="str">
        <f t="shared" si="70"/>
        <v>080608</v>
      </c>
      <c r="K590" t="s">
        <v>23</v>
      </c>
      <c r="L590" t="s">
        <v>24</v>
      </c>
      <c r="M590" t="str">
        <f t="shared" si="71"/>
        <v>1</v>
      </c>
      <c r="O590" t="str">
        <f t="shared" si="72"/>
        <v>1 </v>
      </c>
      <c r="P590">
        <v>10.85</v>
      </c>
      <c r="Q590" t="s">
        <v>25</v>
      </c>
    </row>
    <row r="591" spans="1:17" ht="12.75">
      <c r="A591" t="s">
        <v>17</v>
      </c>
      <c r="B591" t="s">
        <v>18</v>
      </c>
      <c r="C591" t="s">
        <v>482</v>
      </c>
      <c r="D591" t="str">
        <f>CONCATENATE("0130017447","")</f>
        <v>0130017447</v>
      </c>
      <c r="E591" t="str">
        <f>CONCATENATE("0060812000293       ","")</f>
        <v>0060812000293       </v>
      </c>
      <c r="F591" t="str">
        <f>CONCATENATE("0605763973","")</f>
        <v>0605763973</v>
      </c>
      <c r="G591" t="s">
        <v>1266</v>
      </c>
      <c r="H591" t="s">
        <v>1267</v>
      </c>
      <c r="I591" t="s">
        <v>1268</v>
      </c>
      <c r="J591" t="str">
        <f>CONCATENATE("080501","")</f>
        <v>080501</v>
      </c>
      <c r="K591" t="s">
        <v>23</v>
      </c>
      <c r="L591" t="s">
        <v>24</v>
      </c>
      <c r="M591" t="str">
        <f t="shared" si="71"/>
        <v>1</v>
      </c>
      <c r="O591" t="str">
        <f t="shared" si="72"/>
        <v>1 </v>
      </c>
      <c r="P591">
        <v>10.8</v>
      </c>
      <c r="Q591" t="s">
        <v>25</v>
      </c>
    </row>
    <row r="592" spans="1:17" ht="12.75">
      <c r="A592" t="s">
        <v>17</v>
      </c>
      <c r="B592" t="s">
        <v>18</v>
      </c>
      <c r="C592" t="s">
        <v>482</v>
      </c>
      <c r="D592" t="str">
        <f>CONCATENATE("0130017446","")</f>
        <v>0130017446</v>
      </c>
      <c r="E592" t="str">
        <f>CONCATENATE("0060812000300       ","")</f>
        <v>0060812000300       </v>
      </c>
      <c r="F592" t="str">
        <f>CONCATENATE("0605763972","")</f>
        <v>0605763972</v>
      </c>
      <c r="G592" t="s">
        <v>1266</v>
      </c>
      <c r="H592" t="s">
        <v>1269</v>
      </c>
      <c r="I592" t="s">
        <v>1268</v>
      </c>
      <c r="J592" t="str">
        <f>CONCATENATE("080501","")</f>
        <v>080501</v>
      </c>
      <c r="K592" t="s">
        <v>23</v>
      </c>
      <c r="L592" t="s">
        <v>24</v>
      </c>
      <c r="M592" t="str">
        <f t="shared" si="71"/>
        <v>1</v>
      </c>
      <c r="O592" t="str">
        <f t="shared" si="72"/>
        <v>1 </v>
      </c>
      <c r="P592">
        <v>10.85</v>
      </c>
      <c r="Q592" t="s">
        <v>25</v>
      </c>
    </row>
    <row r="593" spans="1:17" ht="12.75">
      <c r="A593" t="s">
        <v>17</v>
      </c>
      <c r="B593" t="s">
        <v>18</v>
      </c>
      <c r="C593" t="s">
        <v>1190</v>
      </c>
      <c r="D593" t="str">
        <f>CONCATENATE("0130013066","")</f>
        <v>0130013066</v>
      </c>
      <c r="E593" t="str">
        <f>CONCATENATE("0060817000190       ","")</f>
        <v>0060817000190       </v>
      </c>
      <c r="F593" t="str">
        <f>CONCATENATE("606597724","")</f>
        <v>606597724</v>
      </c>
      <c r="G593" t="s">
        <v>1270</v>
      </c>
      <c r="H593" t="s">
        <v>1271</v>
      </c>
      <c r="I593" t="s">
        <v>1272</v>
      </c>
      <c r="J593" t="str">
        <f aca="true" t="shared" si="73" ref="J593:J599">CONCATENATE("080608","")</f>
        <v>080608</v>
      </c>
      <c r="K593" t="s">
        <v>23</v>
      </c>
      <c r="L593" t="s">
        <v>24</v>
      </c>
      <c r="M593" t="str">
        <f t="shared" si="71"/>
        <v>1</v>
      </c>
      <c r="O593" t="str">
        <f t="shared" si="72"/>
        <v>1 </v>
      </c>
      <c r="P593">
        <v>12.6</v>
      </c>
      <c r="Q593" t="s">
        <v>25</v>
      </c>
    </row>
    <row r="594" spans="1:17" ht="12.75">
      <c r="A594" t="s">
        <v>17</v>
      </c>
      <c r="B594" t="s">
        <v>18</v>
      </c>
      <c r="C594" t="s">
        <v>1190</v>
      </c>
      <c r="D594" t="str">
        <f>CONCATENATE("0130005458","")</f>
        <v>0130005458</v>
      </c>
      <c r="E594" t="str">
        <f>CONCATENATE("0060820000480       ","")</f>
        <v>0060820000480       </v>
      </c>
      <c r="F594" t="str">
        <f>CONCATENATE("768989","")</f>
        <v>768989</v>
      </c>
      <c r="G594" t="s">
        <v>1273</v>
      </c>
      <c r="H594" t="s">
        <v>1274</v>
      </c>
      <c r="I594" t="s">
        <v>1275</v>
      </c>
      <c r="J594" t="str">
        <f t="shared" si="73"/>
        <v>080608</v>
      </c>
      <c r="K594" t="s">
        <v>23</v>
      </c>
      <c r="L594" t="s">
        <v>24</v>
      </c>
      <c r="M594" t="str">
        <f t="shared" si="71"/>
        <v>1</v>
      </c>
      <c r="O594" t="str">
        <f>CONCATENATE("3 ","")</f>
        <v>3 </v>
      </c>
      <c r="P594">
        <v>23.2</v>
      </c>
      <c r="Q594" t="s">
        <v>25</v>
      </c>
    </row>
    <row r="595" spans="1:17" ht="12.75">
      <c r="A595" t="s">
        <v>17</v>
      </c>
      <c r="B595" t="s">
        <v>18</v>
      </c>
      <c r="C595" t="s">
        <v>1190</v>
      </c>
      <c r="D595" t="str">
        <f>CONCATENATE("0130009019","")</f>
        <v>0130009019</v>
      </c>
      <c r="E595" t="str">
        <f>CONCATENATE("0060820000545       ","")</f>
        <v>0060820000545       </v>
      </c>
      <c r="F595" t="str">
        <f>CONCATENATE("7293496","")</f>
        <v>7293496</v>
      </c>
      <c r="G595" t="s">
        <v>1273</v>
      </c>
      <c r="H595" t="s">
        <v>1276</v>
      </c>
      <c r="I595" t="s">
        <v>1277</v>
      </c>
      <c r="J595" t="str">
        <f t="shared" si="73"/>
        <v>080608</v>
      </c>
      <c r="K595" t="s">
        <v>23</v>
      </c>
      <c r="L595" t="s">
        <v>24</v>
      </c>
      <c r="M595" t="str">
        <f t="shared" si="71"/>
        <v>1</v>
      </c>
      <c r="O595" t="str">
        <f>CONCATENATE("1 ","")</f>
        <v>1 </v>
      </c>
      <c r="P595">
        <v>39.25</v>
      </c>
      <c r="Q595" t="s">
        <v>25</v>
      </c>
    </row>
    <row r="596" spans="1:17" ht="12.75">
      <c r="A596" t="s">
        <v>17</v>
      </c>
      <c r="B596" t="s">
        <v>18</v>
      </c>
      <c r="C596" t="s">
        <v>1190</v>
      </c>
      <c r="D596" t="str">
        <f>CONCATENATE("0040030790","")</f>
        <v>0040030790</v>
      </c>
      <c r="E596" t="str">
        <f>CONCATENATE("0060820000780       ","")</f>
        <v>0060820000780       </v>
      </c>
      <c r="F596" t="str">
        <f>CONCATENATE("2191676","")</f>
        <v>2191676</v>
      </c>
      <c r="G596" t="s">
        <v>1273</v>
      </c>
      <c r="H596" t="s">
        <v>1278</v>
      </c>
      <c r="I596" t="s">
        <v>1279</v>
      </c>
      <c r="J596" t="str">
        <f t="shared" si="73"/>
        <v>080608</v>
      </c>
      <c r="K596" t="s">
        <v>23</v>
      </c>
      <c r="L596" t="s">
        <v>24</v>
      </c>
      <c r="M596" t="str">
        <f t="shared" si="71"/>
        <v>1</v>
      </c>
      <c r="O596" t="str">
        <f>CONCATENATE("1 ","")</f>
        <v>1 </v>
      </c>
      <c r="P596">
        <v>11.75</v>
      </c>
      <c r="Q596" t="s">
        <v>25</v>
      </c>
    </row>
    <row r="597" spans="1:17" ht="12.75">
      <c r="A597" t="s">
        <v>17</v>
      </c>
      <c r="B597" t="s">
        <v>18</v>
      </c>
      <c r="C597" t="s">
        <v>1190</v>
      </c>
      <c r="D597" t="str">
        <f>CONCATENATE("0040040245","")</f>
        <v>0040040245</v>
      </c>
      <c r="E597" t="str">
        <f>CONCATENATE("0060820001136       ","")</f>
        <v>0060820001136       </v>
      </c>
      <c r="F597" t="str">
        <f>CONCATENATE("606845810","")</f>
        <v>606845810</v>
      </c>
      <c r="G597" t="s">
        <v>1273</v>
      </c>
      <c r="H597" t="s">
        <v>1280</v>
      </c>
      <c r="I597" t="s">
        <v>1281</v>
      </c>
      <c r="J597" t="str">
        <f t="shared" si="73"/>
        <v>080608</v>
      </c>
      <c r="K597" t="s">
        <v>23</v>
      </c>
      <c r="L597" t="s">
        <v>24</v>
      </c>
      <c r="M597" t="str">
        <f t="shared" si="71"/>
        <v>1</v>
      </c>
      <c r="O597" t="str">
        <f>CONCATENATE("1 ","")</f>
        <v>1 </v>
      </c>
      <c r="P597">
        <v>28.2</v>
      </c>
      <c r="Q597" t="s">
        <v>25</v>
      </c>
    </row>
    <row r="598" spans="1:17" ht="12.75">
      <c r="A598" t="s">
        <v>17</v>
      </c>
      <c r="B598" t="s">
        <v>18</v>
      </c>
      <c r="C598" t="s">
        <v>1190</v>
      </c>
      <c r="D598" t="str">
        <f>CONCATENATE("0040027721","")</f>
        <v>0040027721</v>
      </c>
      <c r="E598" t="str">
        <f>CONCATENATE("0060820001137       ","")</f>
        <v>0060820001137       </v>
      </c>
      <c r="F598" t="str">
        <f>CONCATENATE("2120384","")</f>
        <v>2120384</v>
      </c>
      <c r="G598" t="s">
        <v>1273</v>
      </c>
      <c r="H598" t="s">
        <v>1282</v>
      </c>
      <c r="I598" t="s">
        <v>1283</v>
      </c>
      <c r="J598" t="str">
        <f t="shared" si="73"/>
        <v>080608</v>
      </c>
      <c r="K598" t="s">
        <v>23</v>
      </c>
      <c r="L598" t="s">
        <v>24</v>
      </c>
      <c r="M598" t="str">
        <f t="shared" si="71"/>
        <v>1</v>
      </c>
      <c r="O598" t="str">
        <f>CONCATENATE("1 ","")</f>
        <v>1 </v>
      </c>
      <c r="P598">
        <v>19.7</v>
      </c>
      <c r="Q598" t="s">
        <v>25</v>
      </c>
    </row>
    <row r="599" spans="1:17" ht="12.75">
      <c r="A599" t="s">
        <v>17</v>
      </c>
      <c r="B599" t="s">
        <v>18</v>
      </c>
      <c r="C599" t="s">
        <v>1190</v>
      </c>
      <c r="D599" t="str">
        <f>CONCATENATE("0130012621","")</f>
        <v>0130012621</v>
      </c>
      <c r="E599" t="str">
        <f>CONCATENATE("0060821000018       ","")</f>
        <v>0060821000018       </v>
      </c>
      <c r="F599" t="str">
        <f>CONCATENATE("00000007605","")</f>
        <v>00000007605</v>
      </c>
      <c r="G599" t="s">
        <v>1273</v>
      </c>
      <c r="H599" t="s">
        <v>1284</v>
      </c>
      <c r="I599" t="s">
        <v>1285</v>
      </c>
      <c r="J599" t="str">
        <f t="shared" si="73"/>
        <v>080608</v>
      </c>
      <c r="K599" t="s">
        <v>23</v>
      </c>
      <c r="L599" t="s">
        <v>24</v>
      </c>
      <c r="M599" t="str">
        <f t="shared" si="71"/>
        <v>1</v>
      </c>
      <c r="O599" t="str">
        <f>CONCATENATE("1 ","")</f>
        <v>1 </v>
      </c>
      <c r="P599">
        <v>29.15</v>
      </c>
      <c r="Q599" t="s">
        <v>25</v>
      </c>
    </row>
    <row r="600" spans="1:17" ht="12.75">
      <c r="A600" t="s">
        <v>17</v>
      </c>
      <c r="B600" t="s">
        <v>18</v>
      </c>
      <c r="C600" t="s">
        <v>1157</v>
      </c>
      <c r="D600" t="str">
        <f>CONCATENATE("0130014899","")</f>
        <v>0130014899</v>
      </c>
      <c r="E600" t="str">
        <f>CONCATENATE("0060825000300       ","")</f>
        <v>0060825000300       </v>
      </c>
      <c r="F600" t="str">
        <f>CONCATENATE("605115337","")</f>
        <v>605115337</v>
      </c>
      <c r="G600" t="s">
        <v>1286</v>
      </c>
      <c r="H600" t="s">
        <v>1287</v>
      </c>
      <c r="I600" t="s">
        <v>1288</v>
      </c>
      <c r="J600" t="str">
        <f>CONCATENATE("080607","")</f>
        <v>080607</v>
      </c>
      <c r="K600" t="s">
        <v>23</v>
      </c>
      <c r="L600" t="s">
        <v>24</v>
      </c>
      <c r="M600" t="str">
        <f t="shared" si="71"/>
        <v>1</v>
      </c>
      <c r="O600" t="str">
        <f>CONCATENATE("3 ","")</f>
        <v>3 </v>
      </c>
      <c r="P600">
        <v>202.85</v>
      </c>
      <c r="Q600" t="s">
        <v>25</v>
      </c>
    </row>
    <row r="601" spans="1:17" ht="12.75">
      <c r="A601" t="s">
        <v>17</v>
      </c>
      <c r="B601" t="s">
        <v>18</v>
      </c>
      <c r="C601" t="s">
        <v>1157</v>
      </c>
      <c r="D601" t="str">
        <f>CONCATENATE("0130012563","")</f>
        <v>0130012563</v>
      </c>
      <c r="E601" t="str">
        <f>CONCATENATE("0060825000330       ","")</f>
        <v>0060825000330       </v>
      </c>
      <c r="F601" t="str">
        <f>CONCATENATE("00000292259","")</f>
        <v>00000292259</v>
      </c>
      <c r="G601" t="s">
        <v>1289</v>
      </c>
      <c r="H601" t="s">
        <v>1290</v>
      </c>
      <c r="I601" t="s">
        <v>1291</v>
      </c>
      <c r="J601" t="str">
        <f>CONCATENATE("080607","")</f>
        <v>080607</v>
      </c>
      <c r="K601" t="s">
        <v>23</v>
      </c>
      <c r="L601" t="s">
        <v>24</v>
      </c>
      <c r="M601" t="str">
        <f t="shared" si="71"/>
        <v>1</v>
      </c>
      <c r="O601" t="str">
        <f>CONCATENATE("1 ","")</f>
        <v>1 </v>
      </c>
      <c r="P601">
        <v>29.05</v>
      </c>
      <c r="Q601" t="s">
        <v>25</v>
      </c>
    </row>
    <row r="602" spans="1:17" ht="12.75">
      <c r="A602" t="s">
        <v>17</v>
      </c>
      <c r="B602" t="s">
        <v>18</v>
      </c>
      <c r="C602" t="s">
        <v>1190</v>
      </c>
      <c r="D602" t="str">
        <f>CONCATENATE("0130011769","")</f>
        <v>0130011769</v>
      </c>
      <c r="E602" t="str">
        <f>CONCATENATE("0060826000158       ","")</f>
        <v>0060826000158       </v>
      </c>
      <c r="F602" t="str">
        <f>CONCATENATE("2186104","")</f>
        <v>2186104</v>
      </c>
      <c r="G602" t="s">
        <v>1289</v>
      </c>
      <c r="H602" t="s">
        <v>1292</v>
      </c>
      <c r="I602" t="s">
        <v>1293</v>
      </c>
      <c r="J602" t="str">
        <f aca="true" t="shared" si="74" ref="J602:J609">CONCATENATE("080608","")</f>
        <v>080608</v>
      </c>
      <c r="K602" t="s">
        <v>23</v>
      </c>
      <c r="L602" t="s">
        <v>24</v>
      </c>
      <c r="M602" t="str">
        <f t="shared" si="71"/>
        <v>1</v>
      </c>
      <c r="O602" t="str">
        <f>CONCATENATE("2 ","")</f>
        <v>2 </v>
      </c>
      <c r="P602">
        <v>20</v>
      </c>
      <c r="Q602" t="s">
        <v>25</v>
      </c>
    </row>
    <row r="603" spans="1:17" ht="12.75">
      <c r="A603" t="s">
        <v>17</v>
      </c>
      <c r="B603" t="s">
        <v>18</v>
      </c>
      <c r="C603" t="s">
        <v>1190</v>
      </c>
      <c r="D603" t="str">
        <f>CONCATENATE("0130008571","")</f>
        <v>0130008571</v>
      </c>
      <c r="E603" t="str">
        <f>CONCATENATE("0060827000470       ","")</f>
        <v>0060827000470       </v>
      </c>
      <c r="F603" t="str">
        <f>CONCATENATE("0606031554","")</f>
        <v>0606031554</v>
      </c>
      <c r="G603" t="s">
        <v>1294</v>
      </c>
      <c r="H603" t="s">
        <v>1295</v>
      </c>
      <c r="I603" t="s">
        <v>1296</v>
      </c>
      <c r="J603" t="str">
        <f t="shared" si="74"/>
        <v>080608</v>
      </c>
      <c r="K603" t="s">
        <v>23</v>
      </c>
      <c r="L603" t="s">
        <v>24</v>
      </c>
      <c r="M603" t="str">
        <f t="shared" si="71"/>
        <v>1</v>
      </c>
      <c r="O603" t="str">
        <f>CONCATENATE("7 ","")</f>
        <v>7 </v>
      </c>
      <c r="P603">
        <v>43.3</v>
      </c>
      <c r="Q603" t="s">
        <v>25</v>
      </c>
    </row>
    <row r="604" spans="1:17" ht="12.75">
      <c r="A604" t="s">
        <v>17</v>
      </c>
      <c r="B604" t="s">
        <v>18</v>
      </c>
      <c r="C604" t="s">
        <v>1190</v>
      </c>
      <c r="D604" t="str">
        <f>CONCATENATE("0130005666","")</f>
        <v>0130005666</v>
      </c>
      <c r="E604" t="str">
        <f>CONCATENATE("0060828000220       ","")</f>
        <v>0060828000220       </v>
      </c>
      <c r="F604" t="str">
        <f>CONCATENATE("605398220","")</f>
        <v>605398220</v>
      </c>
      <c r="G604" t="s">
        <v>1297</v>
      </c>
      <c r="H604" t="s">
        <v>1298</v>
      </c>
      <c r="I604" t="s">
        <v>1299</v>
      </c>
      <c r="J604" t="str">
        <f t="shared" si="74"/>
        <v>080608</v>
      </c>
      <c r="K604" t="s">
        <v>23</v>
      </c>
      <c r="L604" t="s">
        <v>24</v>
      </c>
      <c r="M604" t="str">
        <f t="shared" si="71"/>
        <v>1</v>
      </c>
      <c r="O604" t="str">
        <f>CONCATENATE("2 ","")</f>
        <v>2 </v>
      </c>
      <c r="P604">
        <v>15.9</v>
      </c>
      <c r="Q604" t="s">
        <v>25</v>
      </c>
    </row>
    <row r="605" spans="1:17" ht="12.75">
      <c r="A605" t="s">
        <v>17</v>
      </c>
      <c r="B605" t="s">
        <v>18</v>
      </c>
      <c r="C605" t="s">
        <v>1190</v>
      </c>
      <c r="D605" t="str">
        <f>CONCATENATE("0130009652","")</f>
        <v>0130009652</v>
      </c>
      <c r="E605" t="str">
        <f>CONCATENATE("0060828000491       ","")</f>
        <v>0060828000491       </v>
      </c>
      <c r="F605" t="str">
        <f>CONCATENATE("1601657","")</f>
        <v>1601657</v>
      </c>
      <c r="G605" t="s">
        <v>1297</v>
      </c>
      <c r="H605" t="s">
        <v>1300</v>
      </c>
      <c r="I605" t="s">
        <v>1301</v>
      </c>
      <c r="J605" t="str">
        <f t="shared" si="74"/>
        <v>080608</v>
      </c>
      <c r="K605" t="s">
        <v>23</v>
      </c>
      <c r="L605" t="s">
        <v>24</v>
      </c>
      <c r="M605" t="str">
        <f t="shared" si="71"/>
        <v>1</v>
      </c>
      <c r="O605" t="str">
        <f>CONCATENATE("1 ","")</f>
        <v>1 </v>
      </c>
      <c r="P605">
        <v>20.85</v>
      </c>
      <c r="Q605" t="s">
        <v>25</v>
      </c>
    </row>
    <row r="606" spans="1:17" ht="12.75">
      <c r="A606" t="s">
        <v>17</v>
      </c>
      <c r="B606" t="s">
        <v>18</v>
      </c>
      <c r="C606" t="s">
        <v>1190</v>
      </c>
      <c r="D606" t="str">
        <f>CONCATENATE("0130007267","")</f>
        <v>0130007267</v>
      </c>
      <c r="E606" t="str">
        <f>CONCATENATE("0060828000821       ","")</f>
        <v>0060828000821       </v>
      </c>
      <c r="F606" t="str">
        <f>CONCATENATE("605120910","")</f>
        <v>605120910</v>
      </c>
      <c r="G606" t="s">
        <v>1297</v>
      </c>
      <c r="H606" t="s">
        <v>1302</v>
      </c>
      <c r="I606" t="s">
        <v>1303</v>
      </c>
      <c r="J606" t="str">
        <f t="shared" si="74"/>
        <v>080608</v>
      </c>
      <c r="K606" t="s">
        <v>23</v>
      </c>
      <c r="L606" t="s">
        <v>24</v>
      </c>
      <c r="M606" t="str">
        <f t="shared" si="71"/>
        <v>1</v>
      </c>
      <c r="O606" t="str">
        <f>CONCATENATE("1 ","")</f>
        <v>1 </v>
      </c>
      <c r="P606">
        <v>174.3</v>
      </c>
      <c r="Q606" t="s">
        <v>25</v>
      </c>
    </row>
    <row r="607" spans="1:17" ht="12.75">
      <c r="A607" t="s">
        <v>17</v>
      </c>
      <c r="B607" t="s">
        <v>18</v>
      </c>
      <c r="C607" t="s">
        <v>1190</v>
      </c>
      <c r="D607" t="str">
        <f>CONCATENATE("0130015975","")</f>
        <v>0130015975</v>
      </c>
      <c r="E607" t="str">
        <f>CONCATENATE("0060828000950       ","")</f>
        <v>0060828000950       </v>
      </c>
      <c r="F607" t="str">
        <f>CONCATENATE("605288208","")</f>
        <v>605288208</v>
      </c>
      <c r="G607" t="s">
        <v>1297</v>
      </c>
      <c r="H607" t="s">
        <v>1304</v>
      </c>
      <c r="I607" t="s">
        <v>1305</v>
      </c>
      <c r="J607" t="str">
        <f t="shared" si="74"/>
        <v>080608</v>
      </c>
      <c r="K607" t="s">
        <v>23</v>
      </c>
      <c r="L607" t="s">
        <v>24</v>
      </c>
      <c r="M607" t="str">
        <f t="shared" si="71"/>
        <v>1</v>
      </c>
      <c r="O607" t="str">
        <f>CONCATENATE("1 ","")</f>
        <v>1 </v>
      </c>
      <c r="P607">
        <v>11.75</v>
      </c>
      <c r="Q607" t="s">
        <v>25</v>
      </c>
    </row>
    <row r="608" spans="1:17" ht="12.75">
      <c r="A608" t="s">
        <v>17</v>
      </c>
      <c r="B608" t="s">
        <v>18</v>
      </c>
      <c r="C608" t="s">
        <v>1190</v>
      </c>
      <c r="D608" t="str">
        <f>CONCATENATE("0130005618","")</f>
        <v>0130005618</v>
      </c>
      <c r="E608" t="str">
        <f>CONCATENATE("0060830000175       ","")</f>
        <v>0060830000175       </v>
      </c>
      <c r="F608" t="str">
        <f>CONCATENATE("0606031548","")</f>
        <v>0606031548</v>
      </c>
      <c r="G608" t="s">
        <v>1306</v>
      </c>
      <c r="H608" t="s">
        <v>1307</v>
      </c>
      <c r="I608" t="s">
        <v>1308</v>
      </c>
      <c r="J608" t="str">
        <f t="shared" si="74"/>
        <v>080608</v>
      </c>
      <c r="K608" t="s">
        <v>23</v>
      </c>
      <c r="L608" t="s">
        <v>24</v>
      </c>
      <c r="M608" t="str">
        <f t="shared" si="71"/>
        <v>1</v>
      </c>
      <c r="O608" t="str">
        <f>CONCATENATE("1 ","")</f>
        <v>1 </v>
      </c>
      <c r="P608">
        <v>28.6</v>
      </c>
      <c r="Q608" t="s">
        <v>25</v>
      </c>
    </row>
    <row r="609" spans="1:17" ht="12.75">
      <c r="A609" t="s">
        <v>17</v>
      </c>
      <c r="B609" t="s">
        <v>18</v>
      </c>
      <c r="C609" t="s">
        <v>1190</v>
      </c>
      <c r="D609" t="str">
        <f>CONCATENATE("0130021183","")</f>
        <v>0130021183</v>
      </c>
      <c r="E609" t="str">
        <f>CONCATENATE("0060830000255       ","")</f>
        <v>0060830000255       </v>
      </c>
      <c r="F609" t="str">
        <f>CONCATENATE("1934420","")</f>
        <v>1934420</v>
      </c>
      <c r="G609" t="s">
        <v>1306</v>
      </c>
      <c r="H609" t="s">
        <v>1309</v>
      </c>
      <c r="I609" t="s">
        <v>1310</v>
      </c>
      <c r="J609" t="str">
        <f t="shared" si="74"/>
        <v>080608</v>
      </c>
      <c r="K609" t="s">
        <v>23</v>
      </c>
      <c r="L609" t="s">
        <v>24</v>
      </c>
      <c r="M609" t="str">
        <f t="shared" si="71"/>
        <v>1</v>
      </c>
      <c r="O609" t="str">
        <f>CONCATENATE("3 ","")</f>
        <v>3 </v>
      </c>
      <c r="P609">
        <v>21.3</v>
      </c>
      <c r="Q609" t="s">
        <v>25</v>
      </c>
    </row>
    <row r="610" spans="1:17" ht="12.75">
      <c r="A610" t="s">
        <v>17</v>
      </c>
      <c r="B610" t="s">
        <v>18</v>
      </c>
      <c r="C610" t="s">
        <v>1311</v>
      </c>
      <c r="D610" t="str">
        <f>CONCATENATE("0040035938","")</f>
        <v>0040035938</v>
      </c>
      <c r="E610" t="str">
        <f>CONCATENATE("0100201000425       ","")</f>
        <v>0100201000425       </v>
      </c>
      <c r="F610" t="str">
        <f>CONCATENATE("606753017","")</f>
        <v>606753017</v>
      </c>
      <c r="G610" t="s">
        <v>1312</v>
      </c>
      <c r="H610" t="s">
        <v>1313</v>
      </c>
      <c r="I610" t="s">
        <v>1314</v>
      </c>
      <c r="J610" t="str">
        <f aca="true" t="shared" si="75" ref="J610:J631">CONCATENATE("081002","")</f>
        <v>081002</v>
      </c>
      <c r="K610" t="s">
        <v>23</v>
      </c>
      <c r="L610" t="s">
        <v>24</v>
      </c>
      <c r="M610" t="str">
        <f t="shared" si="71"/>
        <v>1</v>
      </c>
      <c r="O610" t="str">
        <f>CONCATENATE("1 ","")</f>
        <v>1 </v>
      </c>
      <c r="P610">
        <v>16.35</v>
      </c>
      <c r="Q610" t="s">
        <v>25</v>
      </c>
    </row>
    <row r="611" spans="1:17" ht="12.75">
      <c r="A611" t="s">
        <v>17</v>
      </c>
      <c r="B611" t="s">
        <v>18</v>
      </c>
      <c r="C611" t="s">
        <v>1311</v>
      </c>
      <c r="D611" t="str">
        <f>CONCATENATE("0040030852","")</f>
        <v>0040030852</v>
      </c>
      <c r="E611" t="str">
        <f>CONCATENATE("0100201000540       ","")</f>
        <v>0100201000540       </v>
      </c>
      <c r="F611" t="str">
        <f>CONCATENATE("2150244","")</f>
        <v>2150244</v>
      </c>
      <c r="G611" t="s">
        <v>1312</v>
      </c>
      <c r="H611" t="s">
        <v>1315</v>
      </c>
      <c r="I611" t="s">
        <v>1316</v>
      </c>
      <c r="J611" t="str">
        <f t="shared" si="75"/>
        <v>081002</v>
      </c>
      <c r="K611" t="s">
        <v>23</v>
      </c>
      <c r="L611" t="s">
        <v>24</v>
      </c>
      <c r="M611" t="str">
        <f t="shared" si="71"/>
        <v>1</v>
      </c>
      <c r="O611" t="str">
        <f>CONCATENATE("1 ","")</f>
        <v>1 </v>
      </c>
      <c r="P611">
        <v>12.7</v>
      </c>
      <c r="Q611" t="s">
        <v>25</v>
      </c>
    </row>
    <row r="612" spans="1:17" ht="12.75">
      <c r="A612" t="s">
        <v>17</v>
      </c>
      <c r="B612" t="s">
        <v>18</v>
      </c>
      <c r="C612" t="s">
        <v>1311</v>
      </c>
      <c r="D612" t="str">
        <f>CONCATENATE("0130005779","")</f>
        <v>0130005779</v>
      </c>
      <c r="E612" t="str">
        <f>CONCATENATE("0100201000710       ","")</f>
        <v>0100201000710       </v>
      </c>
      <c r="F612" t="str">
        <f>CONCATENATE("606593100","")</f>
        <v>606593100</v>
      </c>
      <c r="G612" t="s">
        <v>1312</v>
      </c>
      <c r="H612" t="s">
        <v>1317</v>
      </c>
      <c r="I612" t="s">
        <v>1318</v>
      </c>
      <c r="J612" t="str">
        <f t="shared" si="75"/>
        <v>081002</v>
      </c>
      <c r="K612" t="s">
        <v>23</v>
      </c>
      <c r="L612" t="s">
        <v>24</v>
      </c>
      <c r="M612" t="str">
        <f t="shared" si="71"/>
        <v>1</v>
      </c>
      <c r="O612" t="str">
        <f>CONCATENATE("1 ","")</f>
        <v>1 </v>
      </c>
      <c r="P612">
        <v>14.7</v>
      </c>
      <c r="Q612" t="s">
        <v>25</v>
      </c>
    </row>
    <row r="613" spans="1:17" ht="12.75">
      <c r="A613" t="s">
        <v>17</v>
      </c>
      <c r="B613" t="s">
        <v>18</v>
      </c>
      <c r="C613" t="s">
        <v>1311</v>
      </c>
      <c r="D613" t="str">
        <f>CONCATENATE("0040037377","")</f>
        <v>0040037377</v>
      </c>
      <c r="E613" t="str">
        <f>CONCATENATE("0100201001057       ","")</f>
        <v>0100201001057       </v>
      </c>
      <c r="F613" t="str">
        <f>CONCATENATE("606667135","")</f>
        <v>606667135</v>
      </c>
      <c r="G613" t="s">
        <v>1312</v>
      </c>
      <c r="H613" t="s">
        <v>1319</v>
      </c>
      <c r="I613" t="s">
        <v>1320</v>
      </c>
      <c r="J613" t="str">
        <f t="shared" si="75"/>
        <v>081002</v>
      </c>
      <c r="K613" t="s">
        <v>23</v>
      </c>
      <c r="L613" t="s">
        <v>24</v>
      </c>
      <c r="M613" t="str">
        <f t="shared" si="71"/>
        <v>1</v>
      </c>
      <c r="O613" t="str">
        <f>CONCATENATE("1 ","")</f>
        <v>1 </v>
      </c>
      <c r="P613">
        <v>28.05</v>
      </c>
      <c r="Q613" t="s">
        <v>25</v>
      </c>
    </row>
    <row r="614" spans="1:17" ht="12.75">
      <c r="A614" t="s">
        <v>17</v>
      </c>
      <c r="B614" t="s">
        <v>18</v>
      </c>
      <c r="C614" t="s">
        <v>1311</v>
      </c>
      <c r="D614" t="str">
        <f>CONCATENATE("0040033545","")</f>
        <v>0040033545</v>
      </c>
      <c r="E614" t="str">
        <f>CONCATENATE("0100201001492       ","")</f>
        <v>0100201001492       </v>
      </c>
      <c r="F614" t="str">
        <f>CONCATENATE("606665972","")</f>
        <v>606665972</v>
      </c>
      <c r="G614" t="s">
        <v>1312</v>
      </c>
      <c r="H614" t="s">
        <v>1321</v>
      </c>
      <c r="I614" t="s">
        <v>221</v>
      </c>
      <c r="J614" t="str">
        <f t="shared" si="75"/>
        <v>081002</v>
      </c>
      <c r="K614" t="s">
        <v>23</v>
      </c>
      <c r="L614" t="s">
        <v>24</v>
      </c>
      <c r="M614" t="str">
        <f t="shared" si="71"/>
        <v>1</v>
      </c>
      <c r="O614" t="str">
        <f>CONCATENATE("1 ","")</f>
        <v>1 </v>
      </c>
      <c r="P614">
        <v>39.05</v>
      </c>
      <c r="Q614" t="s">
        <v>25</v>
      </c>
    </row>
    <row r="615" spans="1:17" ht="12.75">
      <c r="A615" t="s">
        <v>17</v>
      </c>
      <c r="B615" t="s">
        <v>18</v>
      </c>
      <c r="C615" t="s">
        <v>1311</v>
      </c>
      <c r="D615" t="str">
        <f>CONCATENATE("0040036550","")</f>
        <v>0040036550</v>
      </c>
      <c r="E615" t="str">
        <f>CONCATENATE("0100201001543       ","")</f>
        <v>0100201001543       </v>
      </c>
      <c r="F615" t="str">
        <f>CONCATENATE("606673018","")</f>
        <v>606673018</v>
      </c>
      <c r="G615" t="s">
        <v>1312</v>
      </c>
      <c r="H615" t="s">
        <v>1322</v>
      </c>
      <c r="I615" t="s">
        <v>1323</v>
      </c>
      <c r="J615" t="str">
        <f t="shared" si="75"/>
        <v>081002</v>
      </c>
      <c r="K615" t="s">
        <v>23</v>
      </c>
      <c r="L615" t="s">
        <v>24</v>
      </c>
      <c r="M615" t="str">
        <f t="shared" si="71"/>
        <v>1</v>
      </c>
      <c r="O615" t="str">
        <f>CONCATENATE("3 ","")</f>
        <v>3 </v>
      </c>
      <c r="P615">
        <v>24.5</v>
      </c>
      <c r="Q615" t="s">
        <v>25</v>
      </c>
    </row>
    <row r="616" spans="1:17" ht="12.75">
      <c r="A616" t="s">
        <v>17</v>
      </c>
      <c r="B616" t="s">
        <v>18</v>
      </c>
      <c r="C616" t="s">
        <v>1311</v>
      </c>
      <c r="D616" t="str">
        <f>CONCATENATE("0130008406","")</f>
        <v>0130008406</v>
      </c>
      <c r="E616" t="str">
        <f>CONCATENATE("0100201001625       ","")</f>
        <v>0100201001625       </v>
      </c>
      <c r="F616" t="str">
        <f>CONCATENATE("606589977","")</f>
        <v>606589977</v>
      </c>
      <c r="G616" t="s">
        <v>1312</v>
      </c>
      <c r="H616" t="s">
        <v>1324</v>
      </c>
      <c r="I616" t="s">
        <v>476</v>
      </c>
      <c r="J616" t="str">
        <f t="shared" si="75"/>
        <v>081002</v>
      </c>
      <c r="K616" t="s">
        <v>23</v>
      </c>
      <c r="L616" t="s">
        <v>24</v>
      </c>
      <c r="M616" t="str">
        <f t="shared" si="71"/>
        <v>1</v>
      </c>
      <c r="O616" t="str">
        <f aca="true" t="shared" si="76" ref="O616:O621">CONCATENATE("1 ","")</f>
        <v>1 </v>
      </c>
      <c r="P616">
        <v>11.7</v>
      </c>
      <c r="Q616" t="s">
        <v>25</v>
      </c>
    </row>
    <row r="617" spans="1:17" ht="12.75">
      <c r="A617" t="s">
        <v>17</v>
      </c>
      <c r="B617" t="s">
        <v>18</v>
      </c>
      <c r="C617" t="s">
        <v>1311</v>
      </c>
      <c r="D617" t="str">
        <f>CONCATENATE("0040034333","")</f>
        <v>0040034333</v>
      </c>
      <c r="E617" t="str">
        <f>CONCATENATE("0100202000318       ","")</f>
        <v>0100202000318       </v>
      </c>
      <c r="F617" t="str">
        <f>CONCATENATE("606675577","")</f>
        <v>606675577</v>
      </c>
      <c r="G617" t="s">
        <v>1325</v>
      </c>
      <c r="H617" t="s">
        <v>1326</v>
      </c>
      <c r="I617" t="s">
        <v>1327</v>
      </c>
      <c r="J617" t="str">
        <f t="shared" si="75"/>
        <v>081002</v>
      </c>
      <c r="K617" t="s">
        <v>23</v>
      </c>
      <c r="L617" t="s">
        <v>24</v>
      </c>
      <c r="M617" t="str">
        <f t="shared" si="71"/>
        <v>1</v>
      </c>
      <c r="O617" t="str">
        <f t="shared" si="76"/>
        <v>1 </v>
      </c>
      <c r="P617">
        <v>13</v>
      </c>
      <c r="Q617" t="s">
        <v>25</v>
      </c>
    </row>
    <row r="618" spans="1:17" ht="12.75">
      <c r="A618" t="s">
        <v>17</v>
      </c>
      <c r="B618" t="s">
        <v>18</v>
      </c>
      <c r="C618" t="s">
        <v>1311</v>
      </c>
      <c r="D618" t="str">
        <f>CONCATENATE("0040033505","")</f>
        <v>0040033505</v>
      </c>
      <c r="E618" t="str">
        <f>CONCATENATE("0100202000374       ","")</f>
        <v>0100202000374       </v>
      </c>
      <c r="F618" t="str">
        <f>CONCATENATE("606666755","")</f>
        <v>606666755</v>
      </c>
      <c r="G618" t="s">
        <v>1312</v>
      </c>
      <c r="H618" t="s">
        <v>1328</v>
      </c>
      <c r="I618" t="s">
        <v>1329</v>
      </c>
      <c r="J618" t="str">
        <f t="shared" si="75"/>
        <v>081002</v>
      </c>
      <c r="K618" t="s">
        <v>23</v>
      </c>
      <c r="L618" t="s">
        <v>24</v>
      </c>
      <c r="M618" t="str">
        <f t="shared" si="71"/>
        <v>1</v>
      </c>
      <c r="O618" t="str">
        <f t="shared" si="76"/>
        <v>1 </v>
      </c>
      <c r="P618">
        <v>28.65</v>
      </c>
      <c r="Q618" t="s">
        <v>25</v>
      </c>
    </row>
    <row r="619" spans="1:17" ht="12.75">
      <c r="A619" t="s">
        <v>17</v>
      </c>
      <c r="B619" t="s">
        <v>18</v>
      </c>
      <c r="C619" t="s">
        <v>1311</v>
      </c>
      <c r="D619" t="str">
        <f>CONCATENATE("0130005869","")</f>
        <v>0130005869</v>
      </c>
      <c r="E619" t="str">
        <f>CONCATENATE("0100202000811       ","")</f>
        <v>0100202000811       </v>
      </c>
      <c r="F619" t="str">
        <f>CONCATENATE("605350261","")</f>
        <v>605350261</v>
      </c>
      <c r="G619" t="s">
        <v>1325</v>
      </c>
      <c r="H619" t="s">
        <v>1330</v>
      </c>
      <c r="I619" t="s">
        <v>470</v>
      </c>
      <c r="J619" t="str">
        <f t="shared" si="75"/>
        <v>081002</v>
      </c>
      <c r="K619" t="s">
        <v>23</v>
      </c>
      <c r="L619" t="s">
        <v>24</v>
      </c>
      <c r="M619" t="str">
        <f t="shared" si="71"/>
        <v>1</v>
      </c>
      <c r="O619" t="str">
        <f t="shared" si="76"/>
        <v>1 </v>
      </c>
      <c r="P619">
        <v>130.65</v>
      </c>
      <c r="Q619" t="s">
        <v>25</v>
      </c>
    </row>
    <row r="620" spans="1:17" ht="12.75">
      <c r="A620" t="s">
        <v>17</v>
      </c>
      <c r="B620" t="s">
        <v>18</v>
      </c>
      <c r="C620" t="s">
        <v>1311</v>
      </c>
      <c r="D620" t="str">
        <f>CONCATENATE("0040026265","")</f>
        <v>0040026265</v>
      </c>
      <c r="E620" t="str">
        <f>CONCATENATE("0100202001068       ","")</f>
        <v>0100202001068       </v>
      </c>
      <c r="F620" t="str">
        <f>CONCATENATE("1868525","")</f>
        <v>1868525</v>
      </c>
      <c r="G620" t="s">
        <v>1325</v>
      </c>
      <c r="H620" t="s">
        <v>1331</v>
      </c>
      <c r="I620" t="s">
        <v>1332</v>
      </c>
      <c r="J620" t="str">
        <f t="shared" si="75"/>
        <v>081002</v>
      </c>
      <c r="K620" t="s">
        <v>23</v>
      </c>
      <c r="L620" t="s">
        <v>24</v>
      </c>
      <c r="M620" t="str">
        <f t="shared" si="71"/>
        <v>1</v>
      </c>
      <c r="N620" t="str">
        <f>CONCATENATE("974249061","")</f>
        <v>974249061</v>
      </c>
      <c r="O620" t="str">
        <f t="shared" si="76"/>
        <v>1 </v>
      </c>
      <c r="P620">
        <v>27.35</v>
      </c>
      <c r="Q620" t="s">
        <v>25</v>
      </c>
    </row>
    <row r="621" spans="1:17" ht="12.75">
      <c r="A621" t="s">
        <v>17</v>
      </c>
      <c r="B621" t="s">
        <v>18</v>
      </c>
      <c r="C621" t="s">
        <v>1311</v>
      </c>
      <c r="D621" t="str">
        <f>CONCATENATE("0130021584","")</f>
        <v>0130021584</v>
      </c>
      <c r="E621" t="str">
        <f>CONCATENATE("0100202001074       ","")</f>
        <v>0100202001074       </v>
      </c>
      <c r="F621" t="str">
        <f>CONCATENATE("1930537","")</f>
        <v>1930537</v>
      </c>
      <c r="G621" t="s">
        <v>1325</v>
      </c>
      <c r="H621" t="s">
        <v>1333</v>
      </c>
      <c r="I621" t="s">
        <v>1334</v>
      </c>
      <c r="J621" t="str">
        <f t="shared" si="75"/>
        <v>081002</v>
      </c>
      <c r="K621" t="s">
        <v>23</v>
      </c>
      <c r="L621" t="s">
        <v>24</v>
      </c>
      <c r="M621" t="str">
        <f t="shared" si="71"/>
        <v>1</v>
      </c>
      <c r="O621" t="str">
        <f t="shared" si="76"/>
        <v>1 </v>
      </c>
      <c r="P621">
        <v>13.1</v>
      </c>
      <c r="Q621" t="s">
        <v>25</v>
      </c>
    </row>
    <row r="622" spans="1:17" ht="12.75">
      <c r="A622" t="s">
        <v>17</v>
      </c>
      <c r="B622" t="s">
        <v>18</v>
      </c>
      <c r="C622" t="s">
        <v>1311</v>
      </c>
      <c r="D622" t="str">
        <f>CONCATENATE("0130010334","")</f>
        <v>0130010334</v>
      </c>
      <c r="E622" t="str">
        <f>CONCATENATE("0100202001125       ","")</f>
        <v>0100202001125       </v>
      </c>
      <c r="F622" t="str">
        <f>CONCATENATE("606670297","")</f>
        <v>606670297</v>
      </c>
      <c r="G622" t="s">
        <v>1325</v>
      </c>
      <c r="H622" t="s">
        <v>1335</v>
      </c>
      <c r="I622" t="s">
        <v>1336</v>
      </c>
      <c r="J622" t="str">
        <f t="shared" si="75"/>
        <v>081002</v>
      </c>
      <c r="K622" t="s">
        <v>23</v>
      </c>
      <c r="L622" t="s">
        <v>24</v>
      </c>
      <c r="M622" t="str">
        <f t="shared" si="71"/>
        <v>1</v>
      </c>
      <c r="O622" t="str">
        <f>CONCATENATE("2 ","")</f>
        <v>2 </v>
      </c>
      <c r="P622">
        <v>101.25</v>
      </c>
      <c r="Q622" t="s">
        <v>25</v>
      </c>
    </row>
    <row r="623" spans="1:17" ht="12.75">
      <c r="A623" t="s">
        <v>17</v>
      </c>
      <c r="B623" t="s">
        <v>18</v>
      </c>
      <c r="C623" t="s">
        <v>1311</v>
      </c>
      <c r="D623" t="str">
        <f>CONCATENATE("0130005885","")</f>
        <v>0130005885</v>
      </c>
      <c r="E623" t="str">
        <f>CONCATENATE("0100202001140       ","")</f>
        <v>0100202001140       </v>
      </c>
      <c r="F623" t="str">
        <f>CONCATENATE("605347432","")</f>
        <v>605347432</v>
      </c>
      <c r="G623" t="s">
        <v>1325</v>
      </c>
      <c r="H623" t="s">
        <v>1337</v>
      </c>
      <c r="I623" t="s">
        <v>1338</v>
      </c>
      <c r="J623" t="str">
        <f t="shared" si="75"/>
        <v>081002</v>
      </c>
      <c r="K623" t="s">
        <v>23</v>
      </c>
      <c r="L623" t="s">
        <v>24</v>
      </c>
      <c r="M623" t="str">
        <f t="shared" si="71"/>
        <v>1</v>
      </c>
      <c r="O623" t="str">
        <f>CONCATENATE("1 ","")</f>
        <v>1 </v>
      </c>
      <c r="P623">
        <v>33.6</v>
      </c>
      <c r="Q623" t="s">
        <v>25</v>
      </c>
    </row>
    <row r="624" spans="1:17" ht="12.75">
      <c r="A624" t="s">
        <v>17</v>
      </c>
      <c r="B624" t="s">
        <v>18</v>
      </c>
      <c r="C624" t="s">
        <v>1311</v>
      </c>
      <c r="D624" t="str">
        <f>CONCATENATE("0130005886","")</f>
        <v>0130005886</v>
      </c>
      <c r="E624" t="str">
        <f>CONCATENATE("0100202001150       ","")</f>
        <v>0100202001150       </v>
      </c>
      <c r="F624" t="str">
        <f>CONCATENATE("605118900","")</f>
        <v>605118900</v>
      </c>
      <c r="G624" t="s">
        <v>1325</v>
      </c>
      <c r="H624" t="s">
        <v>1339</v>
      </c>
      <c r="I624" t="s">
        <v>1340</v>
      </c>
      <c r="J624" t="str">
        <f t="shared" si="75"/>
        <v>081002</v>
      </c>
      <c r="K624" t="s">
        <v>23</v>
      </c>
      <c r="L624" t="s">
        <v>24</v>
      </c>
      <c r="M624" t="str">
        <f t="shared" si="71"/>
        <v>1</v>
      </c>
      <c r="O624" t="str">
        <f>CONCATENATE("2 ","")</f>
        <v>2 </v>
      </c>
      <c r="P624">
        <v>76.1</v>
      </c>
      <c r="Q624" t="s">
        <v>25</v>
      </c>
    </row>
    <row r="625" spans="1:17" ht="12.75">
      <c r="A625" t="s">
        <v>17</v>
      </c>
      <c r="B625" t="s">
        <v>18</v>
      </c>
      <c r="C625" t="s">
        <v>1311</v>
      </c>
      <c r="D625" t="str">
        <f>CONCATENATE("0040040269","")</f>
        <v>0040040269</v>
      </c>
      <c r="E625" t="str">
        <f>CONCATENATE("0100203000155       ","")</f>
        <v>0100203000155       </v>
      </c>
      <c r="F625" t="str">
        <f>CONCATENATE("606845815","")</f>
        <v>606845815</v>
      </c>
      <c r="G625" t="s">
        <v>1341</v>
      </c>
      <c r="H625" t="s">
        <v>1342</v>
      </c>
      <c r="I625" t="s">
        <v>1343</v>
      </c>
      <c r="J625" t="str">
        <f t="shared" si="75"/>
        <v>081002</v>
      </c>
      <c r="K625" t="s">
        <v>23</v>
      </c>
      <c r="L625" t="s">
        <v>24</v>
      </c>
      <c r="M625" t="str">
        <f t="shared" si="71"/>
        <v>1</v>
      </c>
      <c r="O625" t="str">
        <f>CONCATENATE("1 ","")</f>
        <v>1 </v>
      </c>
      <c r="P625">
        <v>44.7</v>
      </c>
      <c r="Q625" t="s">
        <v>25</v>
      </c>
    </row>
    <row r="626" spans="1:17" ht="12.75">
      <c r="A626" t="s">
        <v>17</v>
      </c>
      <c r="B626" t="s">
        <v>18</v>
      </c>
      <c r="C626" t="s">
        <v>1311</v>
      </c>
      <c r="D626" t="str">
        <f>CONCATENATE("0040028162","")</f>
        <v>0040028162</v>
      </c>
      <c r="E626" t="str">
        <f>CONCATENATE("0100203000253       ","")</f>
        <v>0100203000253       </v>
      </c>
      <c r="F626" t="str">
        <f>CONCATENATE("1860475","")</f>
        <v>1860475</v>
      </c>
      <c r="G626" t="s">
        <v>1341</v>
      </c>
      <c r="H626" t="s">
        <v>1344</v>
      </c>
      <c r="I626" t="s">
        <v>1345</v>
      </c>
      <c r="J626" t="str">
        <f t="shared" si="75"/>
        <v>081002</v>
      </c>
      <c r="K626" t="s">
        <v>23</v>
      </c>
      <c r="L626" t="s">
        <v>24</v>
      </c>
      <c r="M626" t="str">
        <f t="shared" si="71"/>
        <v>1</v>
      </c>
      <c r="O626" t="str">
        <f>CONCATENATE("1 ","")</f>
        <v>1 </v>
      </c>
      <c r="P626">
        <v>20.9</v>
      </c>
      <c r="Q626" t="s">
        <v>25</v>
      </c>
    </row>
    <row r="627" spans="1:17" ht="12.75">
      <c r="A627" t="s">
        <v>17</v>
      </c>
      <c r="B627" t="s">
        <v>18</v>
      </c>
      <c r="C627" t="s">
        <v>1311</v>
      </c>
      <c r="D627" t="str">
        <f>CONCATENATE("0040036417","")</f>
        <v>0040036417</v>
      </c>
      <c r="E627" t="str">
        <f>CONCATENATE("0100203000267       ","")</f>
        <v>0100203000267       </v>
      </c>
      <c r="F627" t="str">
        <f>CONCATENATE("507030851","")</f>
        <v>507030851</v>
      </c>
      <c r="G627" t="s">
        <v>1341</v>
      </c>
      <c r="H627" t="s">
        <v>1346</v>
      </c>
      <c r="I627" t="s">
        <v>1347</v>
      </c>
      <c r="J627" t="str">
        <f t="shared" si="75"/>
        <v>081002</v>
      </c>
      <c r="K627" t="s">
        <v>23</v>
      </c>
      <c r="L627" t="s">
        <v>24</v>
      </c>
      <c r="M627" t="str">
        <f>CONCATENATE("3","")</f>
        <v>3</v>
      </c>
      <c r="O627" t="str">
        <f>CONCATENATE("2 ","")</f>
        <v>2 </v>
      </c>
      <c r="P627">
        <v>528.9</v>
      </c>
      <c r="Q627" t="s">
        <v>124</v>
      </c>
    </row>
    <row r="628" spans="1:17" ht="12.75">
      <c r="A628" t="s">
        <v>17</v>
      </c>
      <c r="B628" t="s">
        <v>18</v>
      </c>
      <c r="C628" t="s">
        <v>1311</v>
      </c>
      <c r="D628" t="str">
        <f>CONCATENATE("0130005934","")</f>
        <v>0130005934</v>
      </c>
      <c r="E628" t="str">
        <f>CONCATENATE("0100203000350       ","")</f>
        <v>0100203000350       </v>
      </c>
      <c r="F628" t="str">
        <f>CONCATENATE("605348845","")</f>
        <v>605348845</v>
      </c>
      <c r="G628" t="s">
        <v>1341</v>
      </c>
      <c r="H628" t="s">
        <v>1348</v>
      </c>
      <c r="I628" t="s">
        <v>1349</v>
      </c>
      <c r="J628" t="str">
        <f t="shared" si="75"/>
        <v>081002</v>
      </c>
      <c r="K628" t="s">
        <v>23</v>
      </c>
      <c r="L628" t="s">
        <v>24</v>
      </c>
      <c r="M628" t="str">
        <f aca="true" t="shared" si="77" ref="M628:M659">CONCATENATE("1","")</f>
        <v>1</v>
      </c>
      <c r="O628" t="str">
        <f aca="true" t="shared" si="78" ref="O628:O634">CONCATENATE("1 ","")</f>
        <v>1 </v>
      </c>
      <c r="P628">
        <v>12.3</v>
      </c>
      <c r="Q628" t="s">
        <v>25</v>
      </c>
    </row>
    <row r="629" spans="1:17" ht="12.75">
      <c r="A629" t="s">
        <v>17</v>
      </c>
      <c r="B629" t="s">
        <v>18</v>
      </c>
      <c r="C629" t="s">
        <v>1311</v>
      </c>
      <c r="D629" t="str">
        <f>CONCATENATE("0130005935","")</f>
        <v>0130005935</v>
      </c>
      <c r="E629" t="str">
        <f>CONCATENATE("0100203000360       ","")</f>
        <v>0100203000360       </v>
      </c>
      <c r="F629" t="str">
        <f>CONCATENATE("605350265","")</f>
        <v>605350265</v>
      </c>
      <c r="G629" t="s">
        <v>1325</v>
      </c>
      <c r="H629" t="s">
        <v>1350</v>
      </c>
      <c r="I629" t="s">
        <v>470</v>
      </c>
      <c r="J629" t="str">
        <f t="shared" si="75"/>
        <v>081002</v>
      </c>
      <c r="K629" t="s">
        <v>23</v>
      </c>
      <c r="L629" t="s">
        <v>24</v>
      </c>
      <c r="M629" t="str">
        <f t="shared" si="77"/>
        <v>1</v>
      </c>
      <c r="O629" t="str">
        <f t="shared" si="78"/>
        <v>1 </v>
      </c>
      <c r="P629">
        <v>13.45</v>
      </c>
      <c r="Q629" t="s">
        <v>25</v>
      </c>
    </row>
    <row r="630" spans="1:17" ht="12.75">
      <c r="A630" t="s">
        <v>17</v>
      </c>
      <c r="B630" t="s">
        <v>18</v>
      </c>
      <c r="C630" t="s">
        <v>1311</v>
      </c>
      <c r="D630" t="str">
        <f>CONCATENATE("0130016785","")</f>
        <v>0130016785</v>
      </c>
      <c r="E630" t="str">
        <f>CONCATENATE("0100204000095       ","")</f>
        <v>0100204000095       </v>
      </c>
      <c r="F630" t="str">
        <f>CONCATENATE("605621222","")</f>
        <v>605621222</v>
      </c>
      <c r="G630" t="s">
        <v>1351</v>
      </c>
      <c r="H630" t="s">
        <v>1352</v>
      </c>
      <c r="I630" t="s">
        <v>1353</v>
      </c>
      <c r="J630" t="str">
        <f t="shared" si="75"/>
        <v>081002</v>
      </c>
      <c r="K630" t="s">
        <v>23</v>
      </c>
      <c r="L630" t="s">
        <v>24</v>
      </c>
      <c r="M630" t="str">
        <f t="shared" si="77"/>
        <v>1</v>
      </c>
      <c r="O630" t="str">
        <f t="shared" si="78"/>
        <v>1 </v>
      </c>
      <c r="P630">
        <v>19.15</v>
      </c>
      <c r="Q630" t="s">
        <v>25</v>
      </c>
    </row>
    <row r="631" spans="1:17" ht="12.75">
      <c r="A631" t="s">
        <v>17</v>
      </c>
      <c r="B631" t="s">
        <v>18</v>
      </c>
      <c r="C631" t="s">
        <v>1311</v>
      </c>
      <c r="D631" t="str">
        <f>CONCATENATE("0130012773","")</f>
        <v>0130012773</v>
      </c>
      <c r="E631" t="str">
        <f>CONCATENATE("0100204000205       ","")</f>
        <v>0100204000205       </v>
      </c>
      <c r="F631" t="str">
        <f>CONCATENATE("2180843","")</f>
        <v>2180843</v>
      </c>
      <c r="G631" t="s">
        <v>1351</v>
      </c>
      <c r="H631" t="s">
        <v>1354</v>
      </c>
      <c r="I631" t="s">
        <v>1355</v>
      </c>
      <c r="J631" t="str">
        <f t="shared" si="75"/>
        <v>081002</v>
      </c>
      <c r="K631" t="s">
        <v>23</v>
      </c>
      <c r="L631" t="s">
        <v>24</v>
      </c>
      <c r="M631" t="str">
        <f t="shared" si="77"/>
        <v>1</v>
      </c>
      <c r="O631" t="str">
        <f t="shared" si="78"/>
        <v>1 </v>
      </c>
      <c r="P631">
        <v>12.35</v>
      </c>
      <c r="Q631" t="s">
        <v>25</v>
      </c>
    </row>
    <row r="632" spans="1:17" ht="12.75">
      <c r="A632" t="s">
        <v>17</v>
      </c>
      <c r="B632" t="s">
        <v>18</v>
      </c>
      <c r="C632" t="s">
        <v>89</v>
      </c>
      <c r="D632" t="str">
        <f>CONCATENATE("0130008813","")</f>
        <v>0130008813</v>
      </c>
      <c r="E632" t="str">
        <f>CONCATENATE("0100205000270       ","")</f>
        <v>0100205000270       </v>
      </c>
      <c r="F632" t="str">
        <f>CONCATENATE("7299869","")</f>
        <v>7299869</v>
      </c>
      <c r="G632" t="s">
        <v>1356</v>
      </c>
      <c r="H632" t="s">
        <v>1357</v>
      </c>
      <c r="I632" t="s">
        <v>1358</v>
      </c>
      <c r="J632" t="str">
        <f>CONCATENATE("080203","")</f>
        <v>080203</v>
      </c>
      <c r="K632" t="s">
        <v>23</v>
      </c>
      <c r="L632" t="s">
        <v>24</v>
      </c>
      <c r="M632" t="str">
        <f t="shared" si="77"/>
        <v>1</v>
      </c>
      <c r="O632" t="str">
        <f t="shared" si="78"/>
        <v>1 </v>
      </c>
      <c r="P632">
        <v>18.5</v>
      </c>
      <c r="Q632" t="s">
        <v>25</v>
      </c>
    </row>
    <row r="633" spans="1:17" ht="12.75">
      <c r="A633" t="s">
        <v>17</v>
      </c>
      <c r="B633" t="s">
        <v>18</v>
      </c>
      <c r="C633" t="s">
        <v>1311</v>
      </c>
      <c r="D633" t="str">
        <f>CONCATENATE("0130015235","")</f>
        <v>0130015235</v>
      </c>
      <c r="E633" t="str">
        <f>CONCATENATE("0100212010160       ","")</f>
        <v>0100212010160       </v>
      </c>
      <c r="F633" t="str">
        <f>CONCATENATE("606808343","")</f>
        <v>606808343</v>
      </c>
      <c r="G633" t="s">
        <v>1359</v>
      </c>
      <c r="H633" t="s">
        <v>1360</v>
      </c>
      <c r="I633" t="s">
        <v>1361</v>
      </c>
      <c r="J633" t="str">
        <f aca="true" t="shared" si="79" ref="J633:J638">CONCATENATE("081002","")</f>
        <v>081002</v>
      </c>
      <c r="K633" t="s">
        <v>23</v>
      </c>
      <c r="L633" t="s">
        <v>24</v>
      </c>
      <c r="M633" t="str">
        <f t="shared" si="77"/>
        <v>1</v>
      </c>
      <c r="O633" t="str">
        <f t="shared" si="78"/>
        <v>1 </v>
      </c>
      <c r="P633">
        <v>10.55</v>
      </c>
      <c r="Q633" t="s">
        <v>25</v>
      </c>
    </row>
    <row r="634" spans="1:17" ht="12.75">
      <c r="A634" t="s">
        <v>17</v>
      </c>
      <c r="B634" t="s">
        <v>18</v>
      </c>
      <c r="C634" t="s">
        <v>1311</v>
      </c>
      <c r="D634" t="str">
        <f>CONCATENATE("0130015376","")</f>
        <v>0130015376</v>
      </c>
      <c r="E634" t="str">
        <f>CONCATENATE("0100216030930       ","")</f>
        <v>0100216030930       </v>
      </c>
      <c r="F634" t="str">
        <f>CONCATENATE("1431853","")</f>
        <v>1431853</v>
      </c>
      <c r="G634" t="s">
        <v>1362</v>
      </c>
      <c r="H634" t="s">
        <v>1363</v>
      </c>
      <c r="I634" t="s">
        <v>1364</v>
      </c>
      <c r="J634" t="str">
        <f t="shared" si="79"/>
        <v>081002</v>
      </c>
      <c r="K634" t="s">
        <v>23</v>
      </c>
      <c r="L634" t="s">
        <v>24</v>
      </c>
      <c r="M634" t="str">
        <f t="shared" si="77"/>
        <v>1</v>
      </c>
      <c r="O634" t="str">
        <f t="shared" si="78"/>
        <v>1 </v>
      </c>
      <c r="P634">
        <v>13.35</v>
      </c>
      <c r="Q634" t="s">
        <v>25</v>
      </c>
    </row>
    <row r="635" spans="1:17" ht="12.75">
      <c r="A635" t="s">
        <v>17</v>
      </c>
      <c r="B635" t="s">
        <v>18</v>
      </c>
      <c r="C635" t="s">
        <v>1311</v>
      </c>
      <c r="D635" t="str">
        <f>CONCATENATE("0040039255","")</f>
        <v>0040039255</v>
      </c>
      <c r="E635" t="str">
        <f>CONCATENATE("0100220001050       ","")</f>
        <v>0100220001050       </v>
      </c>
      <c r="F635" t="str">
        <f>CONCATENATE("90500185","")</f>
        <v>90500185</v>
      </c>
      <c r="G635" t="s">
        <v>1365</v>
      </c>
      <c r="H635" t="s">
        <v>1366</v>
      </c>
      <c r="I635" t="s">
        <v>1367</v>
      </c>
      <c r="J635" t="str">
        <f t="shared" si="79"/>
        <v>081002</v>
      </c>
      <c r="K635" t="s">
        <v>23</v>
      </c>
      <c r="L635" t="s">
        <v>24</v>
      </c>
      <c r="M635" t="str">
        <f t="shared" si="77"/>
        <v>1</v>
      </c>
      <c r="O635" t="str">
        <f>CONCATENATE("3 ","")</f>
        <v>3 </v>
      </c>
      <c r="P635">
        <v>761.8</v>
      </c>
      <c r="Q635" t="s">
        <v>25</v>
      </c>
    </row>
    <row r="636" spans="1:17" ht="12.75">
      <c r="A636" t="s">
        <v>17</v>
      </c>
      <c r="B636" t="s">
        <v>18</v>
      </c>
      <c r="C636" t="s">
        <v>1311</v>
      </c>
      <c r="D636" t="str">
        <f>CONCATENATE("0040039256","")</f>
        <v>0040039256</v>
      </c>
      <c r="E636" t="str">
        <f>CONCATENATE("0100220002050       ","")</f>
        <v>0100220002050       </v>
      </c>
      <c r="F636" t="str">
        <f>CONCATENATE("90500190","")</f>
        <v>90500190</v>
      </c>
      <c r="G636" t="s">
        <v>1365</v>
      </c>
      <c r="H636" t="s">
        <v>1368</v>
      </c>
      <c r="I636" t="s">
        <v>1369</v>
      </c>
      <c r="J636" t="str">
        <f t="shared" si="79"/>
        <v>081002</v>
      </c>
      <c r="K636" t="s">
        <v>23</v>
      </c>
      <c r="L636" t="s">
        <v>24</v>
      </c>
      <c r="M636" t="str">
        <f t="shared" si="77"/>
        <v>1</v>
      </c>
      <c r="O636" t="str">
        <f>CONCATENATE("4 ","")</f>
        <v>4 </v>
      </c>
      <c r="P636">
        <v>366.75</v>
      </c>
      <c r="Q636" t="s">
        <v>25</v>
      </c>
    </row>
    <row r="637" spans="1:17" ht="12.75">
      <c r="A637" t="s">
        <v>17</v>
      </c>
      <c r="B637" t="s">
        <v>18</v>
      </c>
      <c r="C637" t="s">
        <v>1311</v>
      </c>
      <c r="D637" t="str">
        <f>CONCATENATE("0130019130","")</f>
        <v>0130019130</v>
      </c>
      <c r="E637" t="str">
        <f>CONCATENATE("0100225001010       ","")</f>
        <v>0100225001010       </v>
      </c>
      <c r="F637" t="str">
        <f>CONCATENATE("90500990","")</f>
        <v>90500990</v>
      </c>
      <c r="G637" t="s">
        <v>1370</v>
      </c>
      <c r="H637" t="s">
        <v>1371</v>
      </c>
      <c r="I637" t="s">
        <v>1372</v>
      </c>
      <c r="J637" t="str">
        <f t="shared" si="79"/>
        <v>081002</v>
      </c>
      <c r="K637" t="s">
        <v>23</v>
      </c>
      <c r="L637" t="s">
        <v>24</v>
      </c>
      <c r="M637" t="str">
        <f t="shared" si="77"/>
        <v>1</v>
      </c>
      <c r="O637" t="str">
        <f>CONCATENATE("4 ","")</f>
        <v>4 </v>
      </c>
      <c r="P637">
        <v>278.5</v>
      </c>
      <c r="Q637" t="s">
        <v>25</v>
      </c>
    </row>
    <row r="638" spans="1:17" ht="12.75">
      <c r="A638" t="s">
        <v>17</v>
      </c>
      <c r="B638" t="s">
        <v>18</v>
      </c>
      <c r="C638" t="s">
        <v>1311</v>
      </c>
      <c r="D638" t="str">
        <f>CONCATENATE("0130017591","")</f>
        <v>0130017591</v>
      </c>
      <c r="E638" t="str">
        <f>CONCATENATE("0100245000211       ","")</f>
        <v>0100245000211       </v>
      </c>
      <c r="F638" t="str">
        <f>CONCATENATE("90601180","")</f>
        <v>90601180</v>
      </c>
      <c r="G638" t="s">
        <v>1373</v>
      </c>
      <c r="H638" t="s">
        <v>1374</v>
      </c>
      <c r="I638" t="s">
        <v>1375</v>
      </c>
      <c r="J638" t="str">
        <f t="shared" si="79"/>
        <v>081002</v>
      </c>
      <c r="K638" t="s">
        <v>23</v>
      </c>
      <c r="L638" t="s">
        <v>24</v>
      </c>
      <c r="M638" t="str">
        <f t="shared" si="77"/>
        <v>1</v>
      </c>
      <c r="O638" t="str">
        <f aca="true" t="shared" si="80" ref="O638:O648">CONCATENATE("1 ","")</f>
        <v>1 </v>
      </c>
      <c r="P638">
        <v>13.85</v>
      </c>
      <c r="Q638" t="s">
        <v>25</v>
      </c>
    </row>
    <row r="639" spans="1:17" ht="12.75">
      <c r="A639" t="s">
        <v>17</v>
      </c>
      <c r="B639" t="s">
        <v>18</v>
      </c>
      <c r="C639" t="s">
        <v>1376</v>
      </c>
      <c r="D639" t="str">
        <f>CONCATENATE("0040032653","")</f>
        <v>0040032653</v>
      </c>
      <c r="E639" t="str">
        <f>CONCATENATE("0100303000992       ","")</f>
        <v>0100303000992       </v>
      </c>
      <c r="F639" t="str">
        <f>CONCATENATE("606595870","")</f>
        <v>606595870</v>
      </c>
      <c r="G639" t="s">
        <v>1377</v>
      </c>
      <c r="H639" t="s">
        <v>1378</v>
      </c>
      <c r="I639" t="s">
        <v>1379</v>
      </c>
      <c r="J639" t="str">
        <f>CONCATENATE("080206","")</f>
        <v>080206</v>
      </c>
      <c r="K639" t="s">
        <v>23</v>
      </c>
      <c r="L639" t="s">
        <v>24</v>
      </c>
      <c r="M639" t="str">
        <f t="shared" si="77"/>
        <v>1</v>
      </c>
      <c r="O639" t="str">
        <f t="shared" si="80"/>
        <v>1 </v>
      </c>
      <c r="P639">
        <v>11.5</v>
      </c>
      <c r="Q639" t="s">
        <v>25</v>
      </c>
    </row>
    <row r="640" spans="1:17" ht="12.75">
      <c r="A640" t="s">
        <v>17</v>
      </c>
      <c r="B640" t="s">
        <v>18</v>
      </c>
      <c r="C640" t="s">
        <v>1380</v>
      </c>
      <c r="D640" t="str">
        <f>CONCATENATE("0130006041","")</f>
        <v>0130006041</v>
      </c>
      <c r="E640" t="str">
        <f>CONCATENATE("0100801000055       ","")</f>
        <v>0100801000055       </v>
      </c>
      <c r="F640" t="str">
        <f>CONCATENATE("605083305","")</f>
        <v>605083305</v>
      </c>
      <c r="G640" t="s">
        <v>1381</v>
      </c>
      <c r="H640" t="s">
        <v>1382</v>
      </c>
      <c r="I640" t="s">
        <v>1383</v>
      </c>
      <c r="J640" t="str">
        <f aca="true" t="shared" si="81" ref="J640:J657">CONCATENATE("081008","")</f>
        <v>081008</v>
      </c>
      <c r="K640" t="s">
        <v>23</v>
      </c>
      <c r="L640" t="s">
        <v>24</v>
      </c>
      <c r="M640" t="str">
        <f t="shared" si="77"/>
        <v>1</v>
      </c>
      <c r="O640" t="str">
        <f t="shared" si="80"/>
        <v>1 </v>
      </c>
      <c r="P640">
        <v>80.5</v>
      </c>
      <c r="Q640" t="s">
        <v>25</v>
      </c>
    </row>
    <row r="641" spans="1:17" ht="12.75">
      <c r="A641" t="s">
        <v>17</v>
      </c>
      <c r="B641" t="s">
        <v>18</v>
      </c>
      <c r="C641" t="s">
        <v>1380</v>
      </c>
      <c r="D641" t="str">
        <f>CONCATENATE("0130006048","")</f>
        <v>0130006048</v>
      </c>
      <c r="E641" t="str">
        <f>CONCATENATE("0100801000130       ","")</f>
        <v>0100801000130       </v>
      </c>
      <c r="F641" t="str">
        <f>CONCATENATE("605112126","")</f>
        <v>605112126</v>
      </c>
      <c r="G641" t="s">
        <v>1381</v>
      </c>
      <c r="H641" t="s">
        <v>1384</v>
      </c>
      <c r="I641" t="s">
        <v>1383</v>
      </c>
      <c r="J641" t="str">
        <f t="shared" si="81"/>
        <v>081008</v>
      </c>
      <c r="K641" t="s">
        <v>23</v>
      </c>
      <c r="L641" t="s">
        <v>24</v>
      </c>
      <c r="M641" t="str">
        <f t="shared" si="77"/>
        <v>1</v>
      </c>
      <c r="O641" t="str">
        <f t="shared" si="80"/>
        <v>1 </v>
      </c>
      <c r="P641">
        <v>33</v>
      </c>
      <c r="Q641" t="s">
        <v>25</v>
      </c>
    </row>
    <row r="642" spans="1:17" ht="12.75">
      <c r="A642" t="s">
        <v>17</v>
      </c>
      <c r="B642" t="s">
        <v>18</v>
      </c>
      <c r="C642" t="s">
        <v>1380</v>
      </c>
      <c r="D642" t="str">
        <f>CONCATENATE("0130006049","")</f>
        <v>0130006049</v>
      </c>
      <c r="E642" t="str">
        <f>CONCATENATE("0100801000140       ","")</f>
        <v>0100801000140       </v>
      </c>
      <c r="F642" t="str">
        <f>CONCATENATE("605350281","")</f>
        <v>605350281</v>
      </c>
      <c r="G642" t="s">
        <v>1381</v>
      </c>
      <c r="H642" t="s">
        <v>1385</v>
      </c>
      <c r="I642" t="s">
        <v>1383</v>
      </c>
      <c r="J642" t="str">
        <f t="shared" si="81"/>
        <v>081008</v>
      </c>
      <c r="K642" t="s">
        <v>23</v>
      </c>
      <c r="L642" t="s">
        <v>24</v>
      </c>
      <c r="M642" t="str">
        <f t="shared" si="77"/>
        <v>1</v>
      </c>
      <c r="O642" t="str">
        <f t="shared" si="80"/>
        <v>1 </v>
      </c>
      <c r="P642">
        <v>79.3</v>
      </c>
      <c r="Q642" t="s">
        <v>25</v>
      </c>
    </row>
    <row r="643" spans="1:17" ht="12.75">
      <c r="A643" t="s">
        <v>17</v>
      </c>
      <c r="B643" t="s">
        <v>18</v>
      </c>
      <c r="C643" t="s">
        <v>1380</v>
      </c>
      <c r="D643" t="str">
        <f>CONCATENATE("0130014249","")</f>
        <v>0130014249</v>
      </c>
      <c r="E643" t="str">
        <f>CONCATENATE("0100801000143       ","")</f>
        <v>0100801000143       </v>
      </c>
      <c r="F643" t="str">
        <f>CONCATENATE("606671496","")</f>
        <v>606671496</v>
      </c>
      <c r="G643" t="s">
        <v>1386</v>
      </c>
      <c r="H643" t="s">
        <v>1387</v>
      </c>
      <c r="I643" t="s">
        <v>1388</v>
      </c>
      <c r="J643" t="str">
        <f t="shared" si="81"/>
        <v>081008</v>
      </c>
      <c r="K643" t="s">
        <v>23</v>
      </c>
      <c r="L643" t="s">
        <v>24</v>
      </c>
      <c r="M643" t="str">
        <f t="shared" si="77"/>
        <v>1</v>
      </c>
      <c r="O643" t="str">
        <f t="shared" si="80"/>
        <v>1 </v>
      </c>
      <c r="P643">
        <v>16.2</v>
      </c>
      <c r="Q643" t="s">
        <v>25</v>
      </c>
    </row>
    <row r="644" spans="1:17" ht="12.75">
      <c r="A644" t="s">
        <v>17</v>
      </c>
      <c r="B644" t="s">
        <v>18</v>
      </c>
      <c r="C644" t="s">
        <v>1380</v>
      </c>
      <c r="D644" t="str">
        <f>CONCATENATE("0130008232","")</f>
        <v>0130008232</v>
      </c>
      <c r="E644" t="str">
        <f>CONCATENATE("0100801000175       ","")</f>
        <v>0100801000175       </v>
      </c>
      <c r="F644" t="str">
        <f>CONCATENATE("605348854","")</f>
        <v>605348854</v>
      </c>
      <c r="G644" t="s">
        <v>1381</v>
      </c>
      <c r="H644" t="s">
        <v>1389</v>
      </c>
      <c r="I644" t="s">
        <v>1390</v>
      </c>
      <c r="J644" t="str">
        <f t="shared" si="81"/>
        <v>081008</v>
      </c>
      <c r="K644" t="s">
        <v>23</v>
      </c>
      <c r="L644" t="s">
        <v>24</v>
      </c>
      <c r="M644" t="str">
        <f t="shared" si="77"/>
        <v>1</v>
      </c>
      <c r="O644" t="str">
        <f t="shared" si="80"/>
        <v>1 </v>
      </c>
      <c r="P644">
        <v>13.05</v>
      </c>
      <c r="Q644" t="s">
        <v>25</v>
      </c>
    </row>
    <row r="645" spans="1:17" ht="12.75">
      <c r="A645" t="s">
        <v>17</v>
      </c>
      <c r="B645" t="s">
        <v>18</v>
      </c>
      <c r="C645" t="s">
        <v>1380</v>
      </c>
      <c r="D645" t="str">
        <f>CONCATENATE("0130016043","")</f>
        <v>0130016043</v>
      </c>
      <c r="E645" t="str">
        <f>CONCATENATE("0100801000373       ","")</f>
        <v>0100801000373       </v>
      </c>
      <c r="F645" t="str">
        <f>CONCATENATE("606813000","")</f>
        <v>606813000</v>
      </c>
      <c r="G645" t="s">
        <v>1381</v>
      </c>
      <c r="H645" t="s">
        <v>1391</v>
      </c>
      <c r="I645" t="s">
        <v>1392</v>
      </c>
      <c r="J645" t="str">
        <f t="shared" si="81"/>
        <v>081008</v>
      </c>
      <c r="K645" t="s">
        <v>23</v>
      </c>
      <c r="L645" t="s">
        <v>24</v>
      </c>
      <c r="M645" t="str">
        <f t="shared" si="77"/>
        <v>1</v>
      </c>
      <c r="O645" t="str">
        <f t="shared" si="80"/>
        <v>1 </v>
      </c>
      <c r="P645">
        <v>11.25</v>
      </c>
      <c r="Q645" t="s">
        <v>25</v>
      </c>
    </row>
    <row r="646" spans="1:17" ht="12.75">
      <c r="A646" t="s">
        <v>17</v>
      </c>
      <c r="B646" t="s">
        <v>18</v>
      </c>
      <c r="C646" t="s">
        <v>1380</v>
      </c>
      <c r="D646" t="str">
        <f>CONCATENATE("0130006069","")</f>
        <v>0130006069</v>
      </c>
      <c r="E646" t="str">
        <f>CONCATENATE("0100801000380       ","")</f>
        <v>0100801000380       </v>
      </c>
      <c r="F646" t="str">
        <f>CONCATENATE("605349393","")</f>
        <v>605349393</v>
      </c>
      <c r="G646" t="s">
        <v>1381</v>
      </c>
      <c r="H646" t="s">
        <v>1393</v>
      </c>
      <c r="I646" t="s">
        <v>1394</v>
      </c>
      <c r="J646" t="str">
        <f t="shared" si="81"/>
        <v>081008</v>
      </c>
      <c r="K646" t="s">
        <v>23</v>
      </c>
      <c r="L646" t="s">
        <v>24</v>
      </c>
      <c r="M646" t="str">
        <f t="shared" si="77"/>
        <v>1</v>
      </c>
      <c r="O646" t="str">
        <f t="shared" si="80"/>
        <v>1 </v>
      </c>
      <c r="P646">
        <v>31.8</v>
      </c>
      <c r="Q646" t="s">
        <v>25</v>
      </c>
    </row>
    <row r="647" spans="1:17" ht="12.75">
      <c r="A647" t="s">
        <v>17</v>
      </c>
      <c r="B647" t="s">
        <v>18</v>
      </c>
      <c r="C647" t="s">
        <v>1380</v>
      </c>
      <c r="D647" t="str">
        <f>CONCATENATE("0040031475","")</f>
        <v>0040031475</v>
      </c>
      <c r="E647" t="str">
        <f>CONCATENATE("0100801000605       ","")</f>
        <v>0100801000605       </v>
      </c>
      <c r="F647" t="str">
        <f>CONCATENATE("606601838","")</f>
        <v>606601838</v>
      </c>
      <c r="G647" t="s">
        <v>1395</v>
      </c>
      <c r="H647" t="s">
        <v>1396</v>
      </c>
      <c r="I647" t="s">
        <v>1397</v>
      </c>
      <c r="J647" t="str">
        <f t="shared" si="81"/>
        <v>081008</v>
      </c>
      <c r="K647" t="s">
        <v>23</v>
      </c>
      <c r="L647" t="s">
        <v>24</v>
      </c>
      <c r="M647" t="str">
        <f t="shared" si="77"/>
        <v>1</v>
      </c>
      <c r="O647" t="str">
        <f t="shared" si="80"/>
        <v>1 </v>
      </c>
      <c r="P647">
        <v>11.55</v>
      </c>
      <c r="Q647" t="s">
        <v>25</v>
      </c>
    </row>
    <row r="648" spans="1:17" ht="12.75">
      <c r="A648" t="s">
        <v>17</v>
      </c>
      <c r="B648" t="s">
        <v>18</v>
      </c>
      <c r="C648" t="s">
        <v>1380</v>
      </c>
      <c r="D648" t="str">
        <f>CONCATENATE("0040037371","")</f>
        <v>0040037371</v>
      </c>
      <c r="E648" t="str">
        <f>CONCATENATE("0100801000766       ","")</f>
        <v>0100801000766       </v>
      </c>
      <c r="F648" t="str">
        <f>CONCATENATE("606667131","")</f>
        <v>606667131</v>
      </c>
      <c r="G648" t="s">
        <v>1381</v>
      </c>
      <c r="H648" t="s">
        <v>1398</v>
      </c>
      <c r="I648" t="s">
        <v>1399</v>
      </c>
      <c r="J648" t="str">
        <f t="shared" si="81"/>
        <v>081008</v>
      </c>
      <c r="K648" t="s">
        <v>23</v>
      </c>
      <c r="L648" t="s">
        <v>24</v>
      </c>
      <c r="M648" t="str">
        <f t="shared" si="77"/>
        <v>1</v>
      </c>
      <c r="O648" t="str">
        <f t="shared" si="80"/>
        <v>1 </v>
      </c>
      <c r="P648">
        <v>18.5</v>
      </c>
      <c r="Q648" t="s">
        <v>25</v>
      </c>
    </row>
    <row r="649" spans="1:17" ht="12.75">
      <c r="A649" t="s">
        <v>17</v>
      </c>
      <c r="B649" t="s">
        <v>18</v>
      </c>
      <c r="C649" t="s">
        <v>1380</v>
      </c>
      <c r="D649" t="str">
        <f>CONCATENATE("0130017302","")</f>
        <v>0130017302</v>
      </c>
      <c r="E649" t="str">
        <f>CONCATENATE("0100801000862       ","")</f>
        <v>0100801000862       </v>
      </c>
      <c r="F649" t="str">
        <f>CONCATENATE("605759867","")</f>
        <v>605759867</v>
      </c>
      <c r="G649" t="s">
        <v>1381</v>
      </c>
      <c r="H649" t="s">
        <v>1400</v>
      </c>
      <c r="I649" t="s">
        <v>1401</v>
      </c>
      <c r="J649" t="str">
        <f t="shared" si="81"/>
        <v>081008</v>
      </c>
      <c r="K649" t="s">
        <v>23</v>
      </c>
      <c r="L649" t="s">
        <v>24</v>
      </c>
      <c r="M649" t="str">
        <f t="shared" si="77"/>
        <v>1</v>
      </c>
      <c r="O649" t="str">
        <f>CONCATENATE("6 ","")</f>
        <v>6 </v>
      </c>
      <c r="P649">
        <v>57.3</v>
      </c>
      <c r="Q649" t="s">
        <v>25</v>
      </c>
    </row>
    <row r="650" spans="1:17" ht="12.75">
      <c r="A650" t="s">
        <v>17</v>
      </c>
      <c r="B650" t="s">
        <v>18</v>
      </c>
      <c r="C650" t="s">
        <v>1380</v>
      </c>
      <c r="D650" t="str">
        <f>CONCATENATE("0040030593","")</f>
        <v>0040030593</v>
      </c>
      <c r="E650" t="str">
        <f>CONCATENATE("0100801000919       ","")</f>
        <v>0100801000919       </v>
      </c>
      <c r="F650" t="str">
        <f>CONCATENATE("2182360","")</f>
        <v>2182360</v>
      </c>
      <c r="G650" t="s">
        <v>1381</v>
      </c>
      <c r="H650" t="s">
        <v>1402</v>
      </c>
      <c r="I650" t="s">
        <v>1403</v>
      </c>
      <c r="J650" t="str">
        <f t="shared" si="81"/>
        <v>081008</v>
      </c>
      <c r="K650" t="s">
        <v>23</v>
      </c>
      <c r="L650" t="s">
        <v>24</v>
      </c>
      <c r="M650" t="str">
        <f t="shared" si="77"/>
        <v>1</v>
      </c>
      <c r="O650" t="str">
        <f aca="true" t="shared" si="82" ref="O650:O656">CONCATENATE("1 ","")</f>
        <v>1 </v>
      </c>
      <c r="P650">
        <v>18.9</v>
      </c>
      <c r="Q650" t="s">
        <v>25</v>
      </c>
    </row>
    <row r="651" spans="1:17" ht="12.75">
      <c r="A651" t="s">
        <v>17</v>
      </c>
      <c r="B651" t="s">
        <v>18</v>
      </c>
      <c r="C651" t="s">
        <v>1380</v>
      </c>
      <c r="D651" t="str">
        <f>CONCATENATE("0130006138","")</f>
        <v>0130006138</v>
      </c>
      <c r="E651" t="str">
        <f>CONCATENATE("0100802000010       ","")</f>
        <v>0100802000010       </v>
      </c>
      <c r="F651" t="str">
        <f>CONCATENATE("605348869","")</f>
        <v>605348869</v>
      </c>
      <c r="G651" t="s">
        <v>1386</v>
      </c>
      <c r="H651" t="s">
        <v>1404</v>
      </c>
      <c r="I651" t="s">
        <v>1405</v>
      </c>
      <c r="J651" t="str">
        <f t="shared" si="81"/>
        <v>081008</v>
      </c>
      <c r="K651" t="s">
        <v>23</v>
      </c>
      <c r="L651" t="s">
        <v>24</v>
      </c>
      <c r="M651" t="str">
        <f t="shared" si="77"/>
        <v>1</v>
      </c>
      <c r="O651" t="str">
        <f t="shared" si="82"/>
        <v>1 </v>
      </c>
      <c r="P651">
        <v>25.3</v>
      </c>
      <c r="Q651" t="s">
        <v>25</v>
      </c>
    </row>
    <row r="652" spans="1:17" ht="12.75">
      <c r="A652" t="s">
        <v>17</v>
      </c>
      <c r="B652" t="s">
        <v>18</v>
      </c>
      <c r="C652" t="s">
        <v>1380</v>
      </c>
      <c r="D652" t="str">
        <f>CONCATENATE("0130006149","")</f>
        <v>0130006149</v>
      </c>
      <c r="E652" t="str">
        <f>CONCATENATE("0100802000140       ","")</f>
        <v>0100802000140       </v>
      </c>
      <c r="F652" t="str">
        <f>CONCATENATE("605347410","")</f>
        <v>605347410</v>
      </c>
      <c r="G652" t="s">
        <v>1386</v>
      </c>
      <c r="H652" t="s">
        <v>1406</v>
      </c>
      <c r="I652" t="s">
        <v>1405</v>
      </c>
      <c r="J652" t="str">
        <f t="shared" si="81"/>
        <v>081008</v>
      </c>
      <c r="K652" t="s">
        <v>23</v>
      </c>
      <c r="L652" t="s">
        <v>24</v>
      </c>
      <c r="M652" t="str">
        <f t="shared" si="77"/>
        <v>1</v>
      </c>
      <c r="O652" t="str">
        <f t="shared" si="82"/>
        <v>1 </v>
      </c>
      <c r="P652">
        <v>20.3</v>
      </c>
      <c r="Q652" t="s">
        <v>25</v>
      </c>
    </row>
    <row r="653" spans="1:17" ht="12.75">
      <c r="A653" t="s">
        <v>17</v>
      </c>
      <c r="B653" t="s">
        <v>18</v>
      </c>
      <c r="C653" t="s">
        <v>1380</v>
      </c>
      <c r="D653" t="str">
        <f>CONCATENATE("0130021167","")</f>
        <v>0130021167</v>
      </c>
      <c r="E653" t="str">
        <f>CONCATENATE("0100802000323       ","")</f>
        <v>0100802000323       </v>
      </c>
      <c r="F653" t="str">
        <f>CONCATENATE("1944620","")</f>
        <v>1944620</v>
      </c>
      <c r="G653" t="s">
        <v>1386</v>
      </c>
      <c r="H653" t="s">
        <v>1407</v>
      </c>
      <c r="I653" t="s">
        <v>1408</v>
      </c>
      <c r="J653" t="str">
        <f t="shared" si="81"/>
        <v>081008</v>
      </c>
      <c r="K653" t="s">
        <v>23</v>
      </c>
      <c r="L653" t="s">
        <v>24</v>
      </c>
      <c r="M653" t="str">
        <f t="shared" si="77"/>
        <v>1</v>
      </c>
      <c r="O653" t="str">
        <f t="shared" si="82"/>
        <v>1 </v>
      </c>
      <c r="P653">
        <v>13.9</v>
      </c>
      <c r="Q653" t="s">
        <v>25</v>
      </c>
    </row>
    <row r="654" spans="1:17" ht="12.75">
      <c r="A654" t="s">
        <v>17</v>
      </c>
      <c r="B654" t="s">
        <v>18</v>
      </c>
      <c r="C654" t="s">
        <v>1380</v>
      </c>
      <c r="D654" t="str">
        <f>CONCATENATE("0130006171","")</f>
        <v>0130006171</v>
      </c>
      <c r="E654" t="str">
        <f>CONCATENATE("0100802000460       ","")</f>
        <v>0100802000460       </v>
      </c>
      <c r="F654" t="str">
        <f>CONCATENATE("605348866","")</f>
        <v>605348866</v>
      </c>
      <c r="G654" t="s">
        <v>1386</v>
      </c>
      <c r="H654" t="s">
        <v>1409</v>
      </c>
      <c r="I654" t="s">
        <v>1169</v>
      </c>
      <c r="J654" t="str">
        <f t="shared" si="81"/>
        <v>081008</v>
      </c>
      <c r="K654" t="s">
        <v>23</v>
      </c>
      <c r="L654" t="s">
        <v>24</v>
      </c>
      <c r="M654" t="str">
        <f t="shared" si="77"/>
        <v>1</v>
      </c>
      <c r="O654" t="str">
        <f t="shared" si="82"/>
        <v>1 </v>
      </c>
      <c r="P654">
        <v>13.45</v>
      </c>
      <c r="Q654" t="s">
        <v>25</v>
      </c>
    </row>
    <row r="655" spans="1:17" ht="12.75">
      <c r="A655" t="s">
        <v>17</v>
      </c>
      <c r="B655" t="s">
        <v>18</v>
      </c>
      <c r="C655" t="s">
        <v>1380</v>
      </c>
      <c r="D655" t="str">
        <f>CONCATENATE("0130019455","")</f>
        <v>0130019455</v>
      </c>
      <c r="E655" t="str">
        <f>CONCATENATE("0100802000565       ","")</f>
        <v>0100802000565       </v>
      </c>
      <c r="F655" t="str">
        <f>CONCATENATE("605934295","")</f>
        <v>605934295</v>
      </c>
      <c r="G655" t="s">
        <v>1386</v>
      </c>
      <c r="H655" t="s">
        <v>1410</v>
      </c>
      <c r="I655" t="s">
        <v>1390</v>
      </c>
      <c r="J655" t="str">
        <f t="shared" si="81"/>
        <v>081008</v>
      </c>
      <c r="K655" t="s">
        <v>23</v>
      </c>
      <c r="L655" t="s">
        <v>24</v>
      </c>
      <c r="M655" t="str">
        <f t="shared" si="77"/>
        <v>1</v>
      </c>
      <c r="O655" t="str">
        <f t="shared" si="82"/>
        <v>1 </v>
      </c>
      <c r="P655">
        <v>87.8</v>
      </c>
      <c r="Q655" t="s">
        <v>25</v>
      </c>
    </row>
    <row r="656" spans="1:17" ht="12.75">
      <c r="A656" t="s">
        <v>17</v>
      </c>
      <c r="B656" t="s">
        <v>18</v>
      </c>
      <c r="C656" t="s">
        <v>1380</v>
      </c>
      <c r="D656" t="str">
        <f>CONCATENATE("0130006179","")</f>
        <v>0130006179</v>
      </c>
      <c r="E656" t="str">
        <f>CONCATENATE("0100802000580       ","")</f>
        <v>0100802000580       </v>
      </c>
      <c r="F656" t="str">
        <f>CONCATENATE("605740696","")</f>
        <v>605740696</v>
      </c>
      <c r="G656" t="s">
        <v>1386</v>
      </c>
      <c r="H656" t="s">
        <v>1411</v>
      </c>
      <c r="I656" t="s">
        <v>1412</v>
      </c>
      <c r="J656" t="str">
        <f t="shared" si="81"/>
        <v>081008</v>
      </c>
      <c r="K656" t="s">
        <v>23</v>
      </c>
      <c r="L656" t="s">
        <v>24</v>
      </c>
      <c r="M656" t="str">
        <f t="shared" si="77"/>
        <v>1</v>
      </c>
      <c r="O656" t="str">
        <f t="shared" si="82"/>
        <v>1 </v>
      </c>
      <c r="P656">
        <v>13.4</v>
      </c>
      <c r="Q656" t="s">
        <v>25</v>
      </c>
    </row>
    <row r="657" spans="1:17" ht="12.75">
      <c r="A657" t="s">
        <v>17</v>
      </c>
      <c r="B657" t="s">
        <v>18</v>
      </c>
      <c r="C657" t="s">
        <v>1380</v>
      </c>
      <c r="D657" t="str">
        <f>CONCATENATE("0130015741","")</f>
        <v>0130015741</v>
      </c>
      <c r="E657" t="str">
        <f>CONCATENATE("0100815000885       ","")</f>
        <v>0100815000885       </v>
      </c>
      <c r="F657" t="str">
        <f>CONCATENATE("605288987","")</f>
        <v>605288987</v>
      </c>
      <c r="G657" t="s">
        <v>1413</v>
      </c>
      <c r="H657" t="s">
        <v>1414</v>
      </c>
      <c r="I657" t="s">
        <v>1415</v>
      </c>
      <c r="J657" t="str">
        <f t="shared" si="81"/>
        <v>081008</v>
      </c>
      <c r="K657" t="s">
        <v>23</v>
      </c>
      <c r="L657" t="s">
        <v>24</v>
      </c>
      <c r="M657" t="str">
        <f t="shared" si="77"/>
        <v>1</v>
      </c>
      <c r="O657" t="str">
        <f>CONCATENATE("5 ","")</f>
        <v>5 </v>
      </c>
      <c r="P657">
        <v>35.35</v>
      </c>
      <c r="Q657" t="s">
        <v>25</v>
      </c>
    </row>
    <row r="658" spans="1:17" ht="12.75">
      <c r="A658" t="s">
        <v>17</v>
      </c>
      <c r="B658" t="s">
        <v>18</v>
      </c>
      <c r="C658" t="s">
        <v>1416</v>
      </c>
      <c r="D658" t="str">
        <f>CONCATENATE("0130017986","")</f>
        <v>0130017986</v>
      </c>
      <c r="E658" t="str">
        <f>CONCATENATE("0120607001040       ","")</f>
        <v>0120607001040       </v>
      </c>
      <c r="F658" t="str">
        <f>CONCATENATE("90500552","")</f>
        <v>90500552</v>
      </c>
      <c r="G658" t="s">
        <v>1417</v>
      </c>
      <c r="H658" t="s">
        <v>1418</v>
      </c>
      <c r="I658" t="s">
        <v>1419</v>
      </c>
      <c r="J658" t="str">
        <f aca="true" t="shared" si="83" ref="J658:J668">CONCATENATE("081212","")</f>
        <v>081212</v>
      </c>
      <c r="K658" t="s">
        <v>23</v>
      </c>
      <c r="L658" t="s">
        <v>24</v>
      </c>
      <c r="M658" t="str">
        <f t="shared" si="77"/>
        <v>1</v>
      </c>
      <c r="O658" t="str">
        <f>CONCATENATE("2 ","")</f>
        <v>2 </v>
      </c>
      <c r="P658">
        <v>23.9</v>
      </c>
      <c r="Q658" t="s">
        <v>25</v>
      </c>
    </row>
    <row r="659" spans="1:17" ht="12.75">
      <c r="A659" t="s">
        <v>17</v>
      </c>
      <c r="B659" t="s">
        <v>18</v>
      </c>
      <c r="C659" t="s">
        <v>1416</v>
      </c>
      <c r="D659" t="str">
        <f>CONCATENATE("0040033173","")</f>
        <v>0040033173</v>
      </c>
      <c r="E659" t="str">
        <f>CONCATENATE("0120607002230       ","")</f>
        <v>0120607002230       </v>
      </c>
      <c r="F659" t="str">
        <f>CONCATENATE("606095257","")</f>
        <v>606095257</v>
      </c>
      <c r="G659" t="s">
        <v>1417</v>
      </c>
      <c r="H659" t="s">
        <v>1420</v>
      </c>
      <c r="I659" t="s">
        <v>1421</v>
      </c>
      <c r="J659" t="str">
        <f t="shared" si="83"/>
        <v>081212</v>
      </c>
      <c r="K659" t="s">
        <v>23</v>
      </c>
      <c r="L659" t="s">
        <v>24</v>
      </c>
      <c r="M659" t="str">
        <f t="shared" si="77"/>
        <v>1</v>
      </c>
      <c r="O659" t="str">
        <f>CONCATENATE("1 ","")</f>
        <v>1 </v>
      </c>
      <c r="P659">
        <v>16.2</v>
      </c>
      <c r="Q659" t="s">
        <v>25</v>
      </c>
    </row>
    <row r="660" spans="1:17" ht="12.75">
      <c r="A660" t="s">
        <v>17</v>
      </c>
      <c r="B660" t="s">
        <v>18</v>
      </c>
      <c r="C660" t="s">
        <v>1416</v>
      </c>
      <c r="D660" t="str">
        <f>CONCATENATE("0040033175","")</f>
        <v>0040033175</v>
      </c>
      <c r="E660" t="str">
        <f>CONCATENATE("0120607002240       ","")</f>
        <v>0120607002240       </v>
      </c>
      <c r="F660" t="str">
        <f>CONCATENATE("606095259","")</f>
        <v>606095259</v>
      </c>
      <c r="G660" t="s">
        <v>1417</v>
      </c>
      <c r="H660" t="s">
        <v>1422</v>
      </c>
      <c r="I660" t="s">
        <v>1421</v>
      </c>
      <c r="J660" t="str">
        <f t="shared" si="83"/>
        <v>081212</v>
      </c>
      <c r="K660" t="s">
        <v>23</v>
      </c>
      <c r="L660" t="s">
        <v>24</v>
      </c>
      <c r="M660" t="str">
        <f aca="true" t="shared" si="84" ref="M660:M678">CONCATENATE("1","")</f>
        <v>1</v>
      </c>
      <c r="O660" t="str">
        <f>CONCATENATE("1 ","")</f>
        <v>1 </v>
      </c>
      <c r="P660">
        <v>15.9</v>
      </c>
      <c r="Q660" t="s">
        <v>25</v>
      </c>
    </row>
    <row r="661" spans="1:17" ht="12.75">
      <c r="A661" t="s">
        <v>17</v>
      </c>
      <c r="B661" t="s">
        <v>18</v>
      </c>
      <c r="C661" t="s">
        <v>1416</v>
      </c>
      <c r="D661" t="str">
        <f>CONCATENATE("0040033182","")</f>
        <v>0040033182</v>
      </c>
      <c r="E661" t="str">
        <f>CONCATENATE("0120607002300       ","")</f>
        <v>0120607002300       </v>
      </c>
      <c r="F661" t="str">
        <f>CONCATENATE("606095367","")</f>
        <v>606095367</v>
      </c>
      <c r="G661" t="s">
        <v>1417</v>
      </c>
      <c r="H661" t="s">
        <v>1423</v>
      </c>
      <c r="I661" t="s">
        <v>1421</v>
      </c>
      <c r="J661" t="str">
        <f t="shared" si="83"/>
        <v>081212</v>
      </c>
      <c r="K661" t="s">
        <v>23</v>
      </c>
      <c r="L661" t="s">
        <v>24</v>
      </c>
      <c r="M661" t="str">
        <f t="shared" si="84"/>
        <v>1</v>
      </c>
      <c r="O661" t="str">
        <f>CONCATENATE("1 ","")</f>
        <v>1 </v>
      </c>
      <c r="P661">
        <v>13</v>
      </c>
      <c r="Q661" t="s">
        <v>25</v>
      </c>
    </row>
    <row r="662" spans="1:17" ht="12.75">
      <c r="A662" t="s">
        <v>17</v>
      </c>
      <c r="B662" t="s">
        <v>18</v>
      </c>
      <c r="C662" t="s">
        <v>1416</v>
      </c>
      <c r="D662" t="str">
        <f>CONCATENATE("0040033183","")</f>
        <v>0040033183</v>
      </c>
      <c r="E662" t="str">
        <f>CONCATENATE("0120607002310       ","")</f>
        <v>0120607002310       </v>
      </c>
      <c r="F662" t="str">
        <f>CONCATENATE("606095353","")</f>
        <v>606095353</v>
      </c>
      <c r="G662" t="s">
        <v>1417</v>
      </c>
      <c r="H662" t="s">
        <v>1424</v>
      </c>
      <c r="I662" t="s">
        <v>1421</v>
      </c>
      <c r="J662" t="str">
        <f t="shared" si="83"/>
        <v>081212</v>
      </c>
      <c r="K662" t="s">
        <v>23</v>
      </c>
      <c r="L662" t="s">
        <v>24</v>
      </c>
      <c r="M662" t="str">
        <f t="shared" si="84"/>
        <v>1</v>
      </c>
      <c r="O662" t="str">
        <f>CONCATENATE("5 ","")</f>
        <v>5 </v>
      </c>
      <c r="P662">
        <v>39.6</v>
      </c>
      <c r="Q662" t="s">
        <v>25</v>
      </c>
    </row>
    <row r="663" spans="1:17" ht="12.75">
      <c r="A663" t="s">
        <v>17</v>
      </c>
      <c r="B663" t="s">
        <v>18</v>
      </c>
      <c r="C663" t="s">
        <v>1416</v>
      </c>
      <c r="D663" t="str">
        <f>CONCATENATE("0040033188","")</f>
        <v>0040033188</v>
      </c>
      <c r="E663" t="str">
        <f>CONCATENATE("0120607002330       ","")</f>
        <v>0120607002330       </v>
      </c>
      <c r="F663" t="str">
        <f>CONCATENATE("606095369","")</f>
        <v>606095369</v>
      </c>
      <c r="G663" t="s">
        <v>1417</v>
      </c>
      <c r="H663" t="s">
        <v>1425</v>
      </c>
      <c r="I663" t="s">
        <v>1421</v>
      </c>
      <c r="J663" t="str">
        <f t="shared" si="83"/>
        <v>081212</v>
      </c>
      <c r="K663" t="s">
        <v>23</v>
      </c>
      <c r="L663" t="s">
        <v>24</v>
      </c>
      <c r="M663" t="str">
        <f t="shared" si="84"/>
        <v>1</v>
      </c>
      <c r="O663" t="str">
        <f>CONCATENATE("1 ","")</f>
        <v>1 </v>
      </c>
      <c r="P663">
        <v>14.05</v>
      </c>
      <c r="Q663" t="s">
        <v>25</v>
      </c>
    </row>
    <row r="664" spans="1:17" ht="12.75">
      <c r="A664" t="s">
        <v>17</v>
      </c>
      <c r="B664" t="s">
        <v>18</v>
      </c>
      <c r="C664" t="s">
        <v>1416</v>
      </c>
      <c r="D664" t="str">
        <f>CONCATENATE("0040033189","")</f>
        <v>0040033189</v>
      </c>
      <c r="E664" t="str">
        <f>CONCATENATE("0120607002340       ","")</f>
        <v>0120607002340       </v>
      </c>
      <c r="F664" t="str">
        <f>CONCATENATE("606143952","")</f>
        <v>606143952</v>
      </c>
      <c r="G664" t="s">
        <v>1417</v>
      </c>
      <c r="H664" t="s">
        <v>1426</v>
      </c>
      <c r="I664" t="s">
        <v>1421</v>
      </c>
      <c r="J664" t="str">
        <f t="shared" si="83"/>
        <v>081212</v>
      </c>
      <c r="K664" t="s">
        <v>23</v>
      </c>
      <c r="L664" t="s">
        <v>24</v>
      </c>
      <c r="M664" t="str">
        <f t="shared" si="84"/>
        <v>1</v>
      </c>
      <c r="O664" t="str">
        <f>CONCATENATE("1 ","")</f>
        <v>1 </v>
      </c>
      <c r="P664">
        <v>12.95</v>
      </c>
      <c r="Q664" t="s">
        <v>25</v>
      </c>
    </row>
    <row r="665" spans="1:17" ht="12.75">
      <c r="A665" t="s">
        <v>17</v>
      </c>
      <c r="B665" t="s">
        <v>18</v>
      </c>
      <c r="C665" t="s">
        <v>1416</v>
      </c>
      <c r="D665" t="str">
        <f>CONCATENATE("0040033191","")</f>
        <v>0040033191</v>
      </c>
      <c r="E665" t="str">
        <f>CONCATENATE("0120607002350       ","")</f>
        <v>0120607002350       </v>
      </c>
      <c r="F665" t="str">
        <f>CONCATENATE("606095362","")</f>
        <v>606095362</v>
      </c>
      <c r="G665" t="s">
        <v>1417</v>
      </c>
      <c r="H665" t="s">
        <v>1427</v>
      </c>
      <c r="I665" t="s">
        <v>1421</v>
      </c>
      <c r="J665" t="str">
        <f t="shared" si="83"/>
        <v>081212</v>
      </c>
      <c r="K665" t="s">
        <v>23</v>
      </c>
      <c r="L665" t="s">
        <v>24</v>
      </c>
      <c r="M665" t="str">
        <f t="shared" si="84"/>
        <v>1</v>
      </c>
      <c r="O665" t="str">
        <f>CONCATENATE("2 ","")</f>
        <v>2 </v>
      </c>
      <c r="P665">
        <v>21.2</v>
      </c>
      <c r="Q665" t="s">
        <v>25</v>
      </c>
    </row>
    <row r="666" spans="1:17" ht="12.75">
      <c r="A666" t="s">
        <v>17</v>
      </c>
      <c r="B666" t="s">
        <v>18</v>
      </c>
      <c r="C666" t="s">
        <v>1416</v>
      </c>
      <c r="D666" t="str">
        <f>CONCATENATE("0040033199","")</f>
        <v>0040033199</v>
      </c>
      <c r="E666" t="str">
        <f>CONCATENATE("0120607002360       ","")</f>
        <v>0120607002360       </v>
      </c>
      <c r="F666" t="str">
        <f>CONCATENATE("606095368","")</f>
        <v>606095368</v>
      </c>
      <c r="G666" t="s">
        <v>1417</v>
      </c>
      <c r="H666" t="s">
        <v>1428</v>
      </c>
      <c r="I666" t="s">
        <v>1421</v>
      </c>
      <c r="J666" t="str">
        <f t="shared" si="83"/>
        <v>081212</v>
      </c>
      <c r="K666" t="s">
        <v>23</v>
      </c>
      <c r="L666" t="s">
        <v>24</v>
      </c>
      <c r="M666" t="str">
        <f t="shared" si="84"/>
        <v>1</v>
      </c>
      <c r="O666" t="str">
        <f>CONCATENATE("1 ","")</f>
        <v>1 </v>
      </c>
      <c r="P666">
        <v>13.65</v>
      </c>
      <c r="Q666" t="s">
        <v>25</v>
      </c>
    </row>
    <row r="667" spans="1:17" ht="12.75">
      <c r="A667" t="s">
        <v>17</v>
      </c>
      <c r="B667" t="s">
        <v>18</v>
      </c>
      <c r="C667" t="s">
        <v>1416</v>
      </c>
      <c r="D667" t="str">
        <f>CONCATENATE("0040033197","")</f>
        <v>0040033197</v>
      </c>
      <c r="E667" t="str">
        <f>CONCATENATE("0120607002400       ","")</f>
        <v>0120607002400       </v>
      </c>
      <c r="F667" t="str">
        <f>CONCATENATE("606095272","")</f>
        <v>606095272</v>
      </c>
      <c r="G667" t="s">
        <v>1417</v>
      </c>
      <c r="H667" t="s">
        <v>1429</v>
      </c>
      <c r="I667" t="s">
        <v>1421</v>
      </c>
      <c r="J667" t="str">
        <f t="shared" si="83"/>
        <v>081212</v>
      </c>
      <c r="K667" t="s">
        <v>23</v>
      </c>
      <c r="L667" t="s">
        <v>24</v>
      </c>
      <c r="M667" t="str">
        <f t="shared" si="84"/>
        <v>1</v>
      </c>
      <c r="O667" t="str">
        <f>CONCATENATE("2 ","")</f>
        <v>2 </v>
      </c>
      <c r="P667">
        <v>23.15</v>
      </c>
      <c r="Q667" t="s">
        <v>25</v>
      </c>
    </row>
    <row r="668" spans="1:17" ht="12.75">
      <c r="A668" t="s">
        <v>17</v>
      </c>
      <c r="B668" t="s">
        <v>18</v>
      </c>
      <c r="C668" t="s">
        <v>1416</v>
      </c>
      <c r="D668" t="str">
        <f>CONCATENATE("0040033198","")</f>
        <v>0040033198</v>
      </c>
      <c r="E668" t="str">
        <f>CONCATENATE("0120607002410       ","")</f>
        <v>0120607002410       </v>
      </c>
      <c r="F668" t="str">
        <f>CONCATENATE("606143946","")</f>
        <v>606143946</v>
      </c>
      <c r="G668" t="s">
        <v>1417</v>
      </c>
      <c r="H668" t="s">
        <v>1430</v>
      </c>
      <c r="I668" t="s">
        <v>1421</v>
      </c>
      <c r="J668" t="str">
        <f t="shared" si="83"/>
        <v>081212</v>
      </c>
      <c r="K668" t="s">
        <v>23</v>
      </c>
      <c r="L668" t="s">
        <v>24</v>
      </c>
      <c r="M668" t="str">
        <f t="shared" si="84"/>
        <v>1</v>
      </c>
      <c r="O668" t="str">
        <f>CONCATENATE("1 ","")</f>
        <v>1 </v>
      </c>
      <c r="P668">
        <v>12.95</v>
      </c>
      <c r="Q668" t="s">
        <v>25</v>
      </c>
    </row>
    <row r="669" spans="1:17" ht="12.75">
      <c r="A669" t="s">
        <v>17</v>
      </c>
      <c r="B669" t="s">
        <v>18</v>
      </c>
      <c r="C669" t="s">
        <v>1431</v>
      </c>
      <c r="D669" t="str">
        <f>CONCATENATE("0130006241","")</f>
        <v>0130006241</v>
      </c>
      <c r="E669" t="str">
        <f>CONCATENATE("0120609000110       ","")</f>
        <v>0120609000110       </v>
      </c>
      <c r="F669" t="str">
        <f>CONCATENATE("605119695","")</f>
        <v>605119695</v>
      </c>
      <c r="G669" t="s">
        <v>1432</v>
      </c>
      <c r="H669" t="s">
        <v>1433</v>
      </c>
      <c r="I669" t="s">
        <v>1434</v>
      </c>
      <c r="J669" t="str">
        <f aca="true" t="shared" si="85" ref="J669:J681">CONCATENATE("081206","")</f>
        <v>081206</v>
      </c>
      <c r="K669" t="s">
        <v>23</v>
      </c>
      <c r="L669" t="s">
        <v>24</v>
      </c>
      <c r="M669" t="str">
        <f t="shared" si="84"/>
        <v>1</v>
      </c>
      <c r="O669" t="str">
        <f>CONCATENATE("1 ","")</f>
        <v>1 </v>
      </c>
      <c r="P669">
        <v>52.3</v>
      </c>
      <c r="Q669" t="s">
        <v>25</v>
      </c>
    </row>
    <row r="670" spans="1:17" ht="12.75">
      <c r="A670" t="s">
        <v>17</v>
      </c>
      <c r="B670" t="s">
        <v>18</v>
      </c>
      <c r="C670" t="s">
        <v>1431</v>
      </c>
      <c r="D670" t="str">
        <f>CONCATENATE("0130021233","")</f>
        <v>0130021233</v>
      </c>
      <c r="E670" t="str">
        <f>CONCATENATE("0120609000521       ","")</f>
        <v>0120609000521       </v>
      </c>
      <c r="F670" t="str">
        <f>CONCATENATE("605229944","")</f>
        <v>605229944</v>
      </c>
      <c r="G670" t="s">
        <v>1432</v>
      </c>
      <c r="H670" t="s">
        <v>1435</v>
      </c>
      <c r="I670" t="s">
        <v>1336</v>
      </c>
      <c r="J670" t="str">
        <f t="shared" si="85"/>
        <v>081206</v>
      </c>
      <c r="K670" t="s">
        <v>23</v>
      </c>
      <c r="L670" t="s">
        <v>24</v>
      </c>
      <c r="M670" t="str">
        <f t="shared" si="84"/>
        <v>1</v>
      </c>
      <c r="O670" t="str">
        <f>CONCATENATE("5 ","")</f>
        <v>5 </v>
      </c>
      <c r="P670">
        <v>36.5</v>
      </c>
      <c r="Q670" t="s">
        <v>25</v>
      </c>
    </row>
    <row r="671" spans="1:17" ht="12.75">
      <c r="A671" t="s">
        <v>17</v>
      </c>
      <c r="B671" t="s">
        <v>18</v>
      </c>
      <c r="C671" t="s">
        <v>1431</v>
      </c>
      <c r="D671" t="str">
        <f>CONCATENATE("0130007479","")</f>
        <v>0130007479</v>
      </c>
      <c r="E671" t="str">
        <f>CONCATENATE("0120609000605       ","")</f>
        <v>0120609000605       </v>
      </c>
      <c r="F671" t="str">
        <f>CONCATENATE("605741419","")</f>
        <v>605741419</v>
      </c>
      <c r="G671" t="s">
        <v>1432</v>
      </c>
      <c r="H671" t="s">
        <v>1436</v>
      </c>
      <c r="I671" t="s">
        <v>1437</v>
      </c>
      <c r="J671" t="str">
        <f t="shared" si="85"/>
        <v>081206</v>
      </c>
      <c r="K671" t="s">
        <v>23</v>
      </c>
      <c r="L671" t="s">
        <v>24</v>
      </c>
      <c r="M671" t="str">
        <f t="shared" si="84"/>
        <v>1</v>
      </c>
      <c r="O671" t="str">
        <f>CONCATENATE("1 ","")</f>
        <v>1 </v>
      </c>
      <c r="P671">
        <v>18.5</v>
      </c>
      <c r="Q671" t="s">
        <v>25</v>
      </c>
    </row>
    <row r="672" spans="1:17" ht="12.75">
      <c r="A672" t="s">
        <v>17</v>
      </c>
      <c r="B672" t="s">
        <v>18</v>
      </c>
      <c r="C672" t="s">
        <v>1431</v>
      </c>
      <c r="D672" t="str">
        <f>CONCATENATE("0130006295","")</f>
        <v>0130006295</v>
      </c>
      <c r="E672" t="str">
        <f>CONCATENATE("0120609000875       ","")</f>
        <v>0120609000875       </v>
      </c>
      <c r="F672" t="str">
        <f>CONCATENATE("605231430","")</f>
        <v>605231430</v>
      </c>
      <c r="G672" t="s">
        <v>1432</v>
      </c>
      <c r="H672" t="s">
        <v>1438</v>
      </c>
      <c r="I672" t="s">
        <v>1439</v>
      </c>
      <c r="J672" t="str">
        <f t="shared" si="85"/>
        <v>081206</v>
      </c>
      <c r="K672" t="s">
        <v>23</v>
      </c>
      <c r="L672" t="s">
        <v>24</v>
      </c>
      <c r="M672" t="str">
        <f t="shared" si="84"/>
        <v>1</v>
      </c>
      <c r="O672" t="str">
        <f>CONCATENATE("1 ","")</f>
        <v>1 </v>
      </c>
      <c r="P672">
        <v>33.75</v>
      </c>
      <c r="Q672" t="s">
        <v>25</v>
      </c>
    </row>
    <row r="673" spans="1:17" ht="12.75">
      <c r="A673" t="s">
        <v>17</v>
      </c>
      <c r="B673" t="s">
        <v>18</v>
      </c>
      <c r="C673" t="s">
        <v>1431</v>
      </c>
      <c r="D673" t="str">
        <f>CONCATENATE("0130021510","")</f>
        <v>0130021510</v>
      </c>
      <c r="E673" t="str">
        <f>CONCATENATE("0120609001157       ","")</f>
        <v>0120609001157       </v>
      </c>
      <c r="F673" t="str">
        <f>CONCATENATE("2150404","")</f>
        <v>2150404</v>
      </c>
      <c r="G673" t="s">
        <v>1432</v>
      </c>
      <c r="H673" t="s">
        <v>1440</v>
      </c>
      <c r="I673" t="s">
        <v>1441</v>
      </c>
      <c r="J673" t="str">
        <f t="shared" si="85"/>
        <v>081206</v>
      </c>
      <c r="K673" t="s">
        <v>23</v>
      </c>
      <c r="L673" t="s">
        <v>24</v>
      </c>
      <c r="M673" t="str">
        <f t="shared" si="84"/>
        <v>1</v>
      </c>
      <c r="O673" t="str">
        <f>CONCATENATE("1 ","")</f>
        <v>1 </v>
      </c>
      <c r="P673">
        <v>18.45</v>
      </c>
      <c r="Q673" t="s">
        <v>25</v>
      </c>
    </row>
    <row r="674" spans="1:17" ht="12.75">
      <c r="A674" t="s">
        <v>17</v>
      </c>
      <c r="B674" t="s">
        <v>18</v>
      </c>
      <c r="C674" t="s">
        <v>1431</v>
      </c>
      <c r="D674" t="str">
        <f>CONCATENATE("0130006365","")</f>
        <v>0130006365</v>
      </c>
      <c r="E674" t="str">
        <f>CONCATENATE("0120609001710       ","")</f>
        <v>0120609001710       </v>
      </c>
      <c r="F674" t="str">
        <f>CONCATENATE("2187407","")</f>
        <v>2187407</v>
      </c>
      <c r="G674" t="s">
        <v>1432</v>
      </c>
      <c r="H674" t="s">
        <v>1442</v>
      </c>
      <c r="I674" t="s">
        <v>903</v>
      </c>
      <c r="J674" t="str">
        <f t="shared" si="85"/>
        <v>081206</v>
      </c>
      <c r="K674" t="s">
        <v>23</v>
      </c>
      <c r="L674" t="s">
        <v>24</v>
      </c>
      <c r="M674" t="str">
        <f t="shared" si="84"/>
        <v>1</v>
      </c>
      <c r="O674" t="str">
        <f>CONCATENATE("1 ","")</f>
        <v>1 </v>
      </c>
      <c r="P674">
        <v>22.1</v>
      </c>
      <c r="Q674" t="s">
        <v>25</v>
      </c>
    </row>
    <row r="675" spans="1:17" ht="12.75">
      <c r="A675" t="s">
        <v>17</v>
      </c>
      <c r="B675" t="s">
        <v>18</v>
      </c>
      <c r="C675" t="s">
        <v>1431</v>
      </c>
      <c r="D675" t="str">
        <f>CONCATENATE("0040040332","")</f>
        <v>0040040332</v>
      </c>
      <c r="E675" t="str">
        <f>CONCATENATE("0120612001015       ","")</f>
        <v>0120612001015       </v>
      </c>
      <c r="F675" t="str">
        <f>CONCATENATE("606845707","")</f>
        <v>606845707</v>
      </c>
      <c r="G675" t="s">
        <v>1443</v>
      </c>
      <c r="H675" t="s">
        <v>1444</v>
      </c>
      <c r="I675" t="s">
        <v>1445</v>
      </c>
      <c r="J675" t="str">
        <f t="shared" si="85"/>
        <v>081206</v>
      </c>
      <c r="K675" t="s">
        <v>23</v>
      </c>
      <c r="L675" t="s">
        <v>24</v>
      </c>
      <c r="M675" t="str">
        <f t="shared" si="84"/>
        <v>1</v>
      </c>
      <c r="O675" t="str">
        <f>CONCATENATE("2 ","")</f>
        <v>2 </v>
      </c>
      <c r="P675">
        <v>432.9</v>
      </c>
      <c r="Q675" t="s">
        <v>25</v>
      </c>
    </row>
    <row r="676" spans="1:17" ht="12.75">
      <c r="A676" t="s">
        <v>17</v>
      </c>
      <c r="B676" t="s">
        <v>18</v>
      </c>
      <c r="C676" t="s">
        <v>1431</v>
      </c>
      <c r="D676" t="str">
        <f>CONCATENATE("0040038830","")</f>
        <v>0040038830</v>
      </c>
      <c r="E676" t="str">
        <f>CONCATENATE("0120619000035       ","")</f>
        <v>0120619000035       </v>
      </c>
      <c r="F676" t="str">
        <f>CONCATENATE("606746656","")</f>
        <v>606746656</v>
      </c>
      <c r="G676" t="s">
        <v>1446</v>
      </c>
      <c r="H676" t="s">
        <v>1447</v>
      </c>
      <c r="I676" t="s">
        <v>1448</v>
      </c>
      <c r="J676" t="str">
        <f t="shared" si="85"/>
        <v>081206</v>
      </c>
      <c r="K676" t="s">
        <v>23</v>
      </c>
      <c r="L676" t="s">
        <v>24</v>
      </c>
      <c r="M676" t="str">
        <f t="shared" si="84"/>
        <v>1</v>
      </c>
      <c r="O676" t="str">
        <f>CONCATENATE("1 ","")</f>
        <v>1 </v>
      </c>
      <c r="P676">
        <v>113.35</v>
      </c>
      <c r="Q676" t="s">
        <v>25</v>
      </c>
    </row>
    <row r="677" spans="1:17" ht="12.75">
      <c r="A677" t="s">
        <v>17</v>
      </c>
      <c r="B677" t="s">
        <v>18</v>
      </c>
      <c r="C677" t="s">
        <v>1431</v>
      </c>
      <c r="D677" t="str">
        <f>CONCATENATE("0130015016","")</f>
        <v>0130015016</v>
      </c>
      <c r="E677" t="str">
        <f>CONCATENATE("0120620000208       ","")</f>
        <v>0120620000208       </v>
      </c>
      <c r="F677" t="str">
        <f>CONCATENATE("606855654","")</f>
        <v>606855654</v>
      </c>
      <c r="G677" t="s">
        <v>1449</v>
      </c>
      <c r="H677" t="s">
        <v>1450</v>
      </c>
      <c r="I677" t="s">
        <v>1451</v>
      </c>
      <c r="J677" t="str">
        <f t="shared" si="85"/>
        <v>081206</v>
      </c>
      <c r="K677" t="s">
        <v>23</v>
      </c>
      <c r="L677" t="s">
        <v>24</v>
      </c>
      <c r="M677" t="str">
        <f t="shared" si="84"/>
        <v>1</v>
      </c>
      <c r="O677" t="str">
        <f>CONCATENATE("2 ","")</f>
        <v>2 </v>
      </c>
      <c r="P677">
        <v>16.3</v>
      </c>
      <c r="Q677" t="s">
        <v>25</v>
      </c>
    </row>
    <row r="678" spans="1:17" ht="12.75">
      <c r="A678" t="s">
        <v>17</v>
      </c>
      <c r="B678" t="s">
        <v>18</v>
      </c>
      <c r="C678" t="s">
        <v>1431</v>
      </c>
      <c r="D678" t="str">
        <f>CONCATENATE("0130015000","")</f>
        <v>0130015000</v>
      </c>
      <c r="E678" t="str">
        <f>CONCATENATE("0120620000830       ","")</f>
        <v>0120620000830       </v>
      </c>
      <c r="F678" t="str">
        <f>CONCATENATE("606855648","")</f>
        <v>606855648</v>
      </c>
      <c r="G678" t="s">
        <v>1449</v>
      </c>
      <c r="H678" t="s">
        <v>1452</v>
      </c>
      <c r="I678" t="s">
        <v>1451</v>
      </c>
      <c r="J678" t="str">
        <f t="shared" si="85"/>
        <v>081206</v>
      </c>
      <c r="K678" t="s">
        <v>23</v>
      </c>
      <c r="L678" t="s">
        <v>24</v>
      </c>
      <c r="M678" t="str">
        <f t="shared" si="84"/>
        <v>1</v>
      </c>
      <c r="O678" t="str">
        <f>CONCATENATE("1 ","")</f>
        <v>1 </v>
      </c>
      <c r="P678">
        <v>26.95</v>
      </c>
      <c r="Q678" t="s">
        <v>25</v>
      </c>
    </row>
    <row r="679" spans="1:17" ht="12.75">
      <c r="A679" t="s">
        <v>17</v>
      </c>
      <c r="B679" t="s">
        <v>18</v>
      </c>
      <c r="C679" t="s">
        <v>1431</v>
      </c>
      <c r="D679" t="str">
        <f>CONCATENATE("0040036234","")</f>
        <v>0040036234</v>
      </c>
      <c r="E679" t="str">
        <f>CONCATENATE("0120620000939       ","")</f>
        <v>0120620000939       </v>
      </c>
      <c r="F679" t="str">
        <f>CONCATENATE("507030498","")</f>
        <v>507030498</v>
      </c>
      <c r="G679" t="s">
        <v>1449</v>
      </c>
      <c r="H679" t="s">
        <v>1453</v>
      </c>
      <c r="I679" t="s">
        <v>1454</v>
      </c>
      <c r="J679" t="str">
        <f t="shared" si="85"/>
        <v>081206</v>
      </c>
      <c r="K679" t="s">
        <v>23</v>
      </c>
      <c r="L679" t="s">
        <v>24</v>
      </c>
      <c r="M679" t="str">
        <f>CONCATENATE("3","")</f>
        <v>3</v>
      </c>
      <c r="O679" t="str">
        <f>CONCATENATE("1 ","")</f>
        <v>1 </v>
      </c>
      <c r="P679">
        <v>36.7</v>
      </c>
      <c r="Q679" t="s">
        <v>124</v>
      </c>
    </row>
    <row r="680" spans="1:17" ht="12.75">
      <c r="A680" t="s">
        <v>17</v>
      </c>
      <c r="B680" t="s">
        <v>18</v>
      </c>
      <c r="C680" t="s">
        <v>1431</v>
      </c>
      <c r="D680" t="str">
        <f>CONCATENATE("0130006560","")</f>
        <v>0130006560</v>
      </c>
      <c r="E680" t="str">
        <f>CONCATENATE("0120625000150       ","")</f>
        <v>0120625000150       </v>
      </c>
      <c r="F680" t="str">
        <f>CONCATENATE("605231028","")</f>
        <v>605231028</v>
      </c>
      <c r="G680" t="s">
        <v>1455</v>
      </c>
      <c r="H680" t="s">
        <v>1456</v>
      </c>
      <c r="I680" t="s">
        <v>1457</v>
      </c>
      <c r="J680" t="str">
        <f t="shared" si="85"/>
        <v>081206</v>
      </c>
      <c r="K680" t="s">
        <v>23</v>
      </c>
      <c r="L680" t="s">
        <v>24</v>
      </c>
      <c r="M680" t="str">
        <f aca="true" t="shared" si="86" ref="M680:M711">CONCATENATE("1","")</f>
        <v>1</v>
      </c>
      <c r="O680" t="str">
        <f>CONCATENATE("5 ","")</f>
        <v>5 </v>
      </c>
      <c r="P680">
        <v>32.25</v>
      </c>
      <c r="Q680" t="s">
        <v>25</v>
      </c>
    </row>
    <row r="681" spans="1:17" ht="12.75">
      <c r="A681" t="s">
        <v>17</v>
      </c>
      <c r="B681" t="s">
        <v>18</v>
      </c>
      <c r="C681" t="s">
        <v>1431</v>
      </c>
      <c r="D681" t="str">
        <f>CONCATENATE("0130011528","")</f>
        <v>0130011528</v>
      </c>
      <c r="E681" t="str">
        <f>CONCATENATE("0120625000335       ","")</f>
        <v>0120625000335       </v>
      </c>
      <c r="F681" t="str">
        <f>CONCATENATE("10430967","")</f>
        <v>10430967</v>
      </c>
      <c r="G681" t="s">
        <v>1455</v>
      </c>
      <c r="H681" t="s">
        <v>1458</v>
      </c>
      <c r="I681" t="s">
        <v>1459</v>
      </c>
      <c r="J681" t="str">
        <f t="shared" si="85"/>
        <v>081206</v>
      </c>
      <c r="K681" t="s">
        <v>23</v>
      </c>
      <c r="L681" t="s">
        <v>24</v>
      </c>
      <c r="M681" t="str">
        <f t="shared" si="86"/>
        <v>1</v>
      </c>
      <c r="O681" t="str">
        <f>CONCATENATE("6 ","")</f>
        <v>6 </v>
      </c>
      <c r="P681">
        <v>122.2</v>
      </c>
      <c r="Q681" t="s">
        <v>25</v>
      </c>
    </row>
    <row r="682" spans="1:17" ht="12.75">
      <c r="A682" t="s">
        <v>17</v>
      </c>
      <c r="B682" t="s">
        <v>18</v>
      </c>
      <c r="C682" t="s">
        <v>879</v>
      </c>
      <c r="D682" t="str">
        <f>CONCATENATE("0130009210","")</f>
        <v>0130009210</v>
      </c>
      <c r="E682" t="str">
        <f>CONCATENATE("0120632000040       ","")</f>
        <v>0120632000040       </v>
      </c>
      <c r="F682" t="str">
        <f>CONCATENATE("605397775","")</f>
        <v>605397775</v>
      </c>
      <c r="G682" t="s">
        <v>1460</v>
      </c>
      <c r="H682" t="s">
        <v>1461</v>
      </c>
      <c r="I682" t="s">
        <v>1462</v>
      </c>
      <c r="J682" t="str">
        <f>CONCATENATE("080602","")</f>
        <v>080602</v>
      </c>
      <c r="K682" t="s">
        <v>23</v>
      </c>
      <c r="L682" t="s">
        <v>24</v>
      </c>
      <c r="M682" t="str">
        <f t="shared" si="86"/>
        <v>1</v>
      </c>
      <c r="O682" t="str">
        <f aca="true" t="shared" si="87" ref="O682:O699">CONCATENATE("1 ","")</f>
        <v>1 </v>
      </c>
      <c r="P682">
        <v>59.1</v>
      </c>
      <c r="Q682" t="s">
        <v>25</v>
      </c>
    </row>
    <row r="683" spans="1:17" ht="12.75">
      <c r="A683" t="s">
        <v>17</v>
      </c>
      <c r="B683" t="s">
        <v>18</v>
      </c>
      <c r="C683" t="s">
        <v>879</v>
      </c>
      <c r="D683" t="str">
        <f>CONCATENATE("0130017274","")</f>
        <v>0130017274</v>
      </c>
      <c r="E683" t="str">
        <f>CONCATENATE("0120635000025       ","")</f>
        <v>0120635000025       </v>
      </c>
      <c r="F683" t="str">
        <f>CONCATENATE("605758754","")</f>
        <v>605758754</v>
      </c>
      <c r="G683" t="s">
        <v>1463</v>
      </c>
      <c r="H683" t="s">
        <v>1464</v>
      </c>
      <c r="I683" t="s">
        <v>1465</v>
      </c>
      <c r="J683" t="str">
        <f>CONCATENATE("080602","")</f>
        <v>080602</v>
      </c>
      <c r="K683" t="s">
        <v>23</v>
      </c>
      <c r="L683" t="s">
        <v>24</v>
      </c>
      <c r="M683" t="str">
        <f t="shared" si="86"/>
        <v>1</v>
      </c>
      <c r="O683" t="str">
        <f t="shared" si="87"/>
        <v>1 </v>
      </c>
      <c r="P683">
        <v>26.75</v>
      </c>
      <c r="Q683" t="s">
        <v>25</v>
      </c>
    </row>
    <row r="684" spans="1:17" ht="12.75">
      <c r="A684" t="s">
        <v>17</v>
      </c>
      <c r="B684" t="s">
        <v>18</v>
      </c>
      <c r="C684" t="s">
        <v>879</v>
      </c>
      <c r="D684" t="str">
        <f>CONCATENATE("0130006668","")</f>
        <v>0130006668</v>
      </c>
      <c r="E684" t="str">
        <f>CONCATENATE("0120635000030       ","")</f>
        <v>0120635000030       </v>
      </c>
      <c r="F684" t="str">
        <f>CONCATENATE("605399189","")</f>
        <v>605399189</v>
      </c>
      <c r="G684" t="s">
        <v>1463</v>
      </c>
      <c r="H684" t="s">
        <v>1466</v>
      </c>
      <c r="I684" t="s">
        <v>1467</v>
      </c>
      <c r="J684" t="str">
        <f>CONCATENATE("080602","")</f>
        <v>080602</v>
      </c>
      <c r="K684" t="s">
        <v>23</v>
      </c>
      <c r="L684" t="s">
        <v>24</v>
      </c>
      <c r="M684" t="str">
        <f t="shared" si="86"/>
        <v>1</v>
      </c>
      <c r="O684" t="str">
        <f t="shared" si="87"/>
        <v>1 </v>
      </c>
      <c r="P684">
        <v>22.7</v>
      </c>
      <c r="Q684" t="s">
        <v>25</v>
      </c>
    </row>
    <row r="685" spans="1:17" ht="12.75">
      <c r="A685" t="s">
        <v>17</v>
      </c>
      <c r="B685" t="s">
        <v>18</v>
      </c>
      <c r="C685" t="s">
        <v>879</v>
      </c>
      <c r="D685" t="str">
        <f>CONCATENATE("0130021076","")</f>
        <v>0130021076</v>
      </c>
      <c r="E685" t="str">
        <f>CONCATENATE("0120635000195       ","")</f>
        <v>0120635000195       </v>
      </c>
      <c r="F685" t="str">
        <f>CONCATENATE("18600255","")</f>
        <v>18600255</v>
      </c>
      <c r="G685" t="s">
        <v>1463</v>
      </c>
      <c r="H685" t="s">
        <v>1468</v>
      </c>
      <c r="I685" t="s">
        <v>1469</v>
      </c>
      <c r="J685" t="str">
        <f>CONCATENATE("080602","")</f>
        <v>080602</v>
      </c>
      <c r="K685" t="s">
        <v>23</v>
      </c>
      <c r="L685" t="s">
        <v>24</v>
      </c>
      <c r="M685" t="str">
        <f t="shared" si="86"/>
        <v>1</v>
      </c>
      <c r="O685" t="str">
        <f t="shared" si="87"/>
        <v>1 </v>
      </c>
      <c r="P685">
        <v>11.55</v>
      </c>
      <c r="Q685" t="s">
        <v>25</v>
      </c>
    </row>
    <row r="686" spans="1:17" ht="12.75">
      <c r="A686" t="s">
        <v>17</v>
      </c>
      <c r="B686" t="s">
        <v>18</v>
      </c>
      <c r="C686" t="s">
        <v>879</v>
      </c>
      <c r="D686" t="str">
        <f>CONCATENATE("0130012399","")</f>
        <v>0130012399</v>
      </c>
      <c r="E686" t="str">
        <f>CONCATENATE("0120635000350       ","")</f>
        <v>0120635000350       </v>
      </c>
      <c r="F686" t="str">
        <f>CONCATENATE("00000292441","")</f>
        <v>00000292441</v>
      </c>
      <c r="G686" t="s">
        <v>1463</v>
      </c>
      <c r="H686" t="s">
        <v>1470</v>
      </c>
      <c r="I686" t="s">
        <v>1471</v>
      </c>
      <c r="J686" t="str">
        <f>CONCATENATE("080602","")</f>
        <v>080602</v>
      </c>
      <c r="K686" t="s">
        <v>23</v>
      </c>
      <c r="L686" t="s">
        <v>24</v>
      </c>
      <c r="M686" t="str">
        <f t="shared" si="86"/>
        <v>1</v>
      </c>
      <c r="O686" t="str">
        <f t="shared" si="87"/>
        <v>1 </v>
      </c>
      <c r="P686">
        <v>40.95</v>
      </c>
      <c r="Q686" t="s">
        <v>25</v>
      </c>
    </row>
    <row r="687" spans="1:17" ht="12.75">
      <c r="A687" t="s">
        <v>17</v>
      </c>
      <c r="B687" t="s">
        <v>18</v>
      </c>
      <c r="C687" t="s">
        <v>1416</v>
      </c>
      <c r="D687" t="str">
        <f>CONCATENATE("0130021014","")</f>
        <v>0130021014</v>
      </c>
      <c r="E687" t="str">
        <f>CONCATENATE("0121015001015       ","")</f>
        <v>0121015001015       </v>
      </c>
      <c r="F687" t="str">
        <f>CONCATENATE("1764143","")</f>
        <v>1764143</v>
      </c>
      <c r="G687" t="s">
        <v>1472</v>
      </c>
      <c r="H687" t="s">
        <v>1473</v>
      </c>
      <c r="I687" t="s">
        <v>1474</v>
      </c>
      <c r="J687" t="str">
        <f aca="true" t="shared" si="88" ref="J687:J714">CONCATENATE("081212","")</f>
        <v>081212</v>
      </c>
      <c r="K687" t="s">
        <v>23</v>
      </c>
      <c r="L687" t="s">
        <v>24</v>
      </c>
      <c r="M687" t="str">
        <f t="shared" si="86"/>
        <v>1</v>
      </c>
      <c r="O687" t="str">
        <f t="shared" si="87"/>
        <v>1 </v>
      </c>
      <c r="P687">
        <v>24.3</v>
      </c>
      <c r="Q687" t="s">
        <v>25</v>
      </c>
    </row>
    <row r="688" spans="1:17" ht="12.75">
      <c r="A688" t="s">
        <v>17</v>
      </c>
      <c r="B688" t="s">
        <v>18</v>
      </c>
      <c r="C688" t="s">
        <v>1416</v>
      </c>
      <c r="D688" t="str">
        <f>CONCATENATE("0130017885","")</f>
        <v>0130017885</v>
      </c>
      <c r="E688" t="str">
        <f>CONCATENATE("0121015001030       ","")</f>
        <v>0121015001030       </v>
      </c>
      <c r="F688" t="str">
        <f>CONCATENATE("90500023","")</f>
        <v>90500023</v>
      </c>
      <c r="G688" t="s">
        <v>1472</v>
      </c>
      <c r="H688" t="s">
        <v>1909</v>
      </c>
      <c r="I688" t="s">
        <v>1475</v>
      </c>
      <c r="J688" t="str">
        <f t="shared" si="88"/>
        <v>081212</v>
      </c>
      <c r="K688" t="s">
        <v>23</v>
      </c>
      <c r="L688" t="s">
        <v>24</v>
      </c>
      <c r="M688" t="str">
        <f t="shared" si="86"/>
        <v>1</v>
      </c>
      <c r="O688" t="str">
        <f t="shared" si="87"/>
        <v>1 </v>
      </c>
      <c r="P688">
        <v>44.25</v>
      </c>
      <c r="Q688" t="s">
        <v>25</v>
      </c>
    </row>
    <row r="689" spans="1:17" ht="12.75">
      <c r="A689" t="s">
        <v>17</v>
      </c>
      <c r="B689" t="s">
        <v>18</v>
      </c>
      <c r="C689" t="s">
        <v>1416</v>
      </c>
      <c r="D689" t="str">
        <f>CONCATENATE("0130017908","")</f>
        <v>0130017908</v>
      </c>
      <c r="E689" t="str">
        <f>CONCATENATE("0121015001110       ","")</f>
        <v>0121015001110       </v>
      </c>
      <c r="F689" t="str">
        <f>CONCATENATE("90500028","")</f>
        <v>90500028</v>
      </c>
      <c r="G689" t="s">
        <v>1472</v>
      </c>
      <c r="H689" t="s">
        <v>1910</v>
      </c>
      <c r="I689" t="s">
        <v>1475</v>
      </c>
      <c r="J689" t="str">
        <f t="shared" si="88"/>
        <v>081212</v>
      </c>
      <c r="K689" t="s">
        <v>23</v>
      </c>
      <c r="L689" t="s">
        <v>24</v>
      </c>
      <c r="M689" t="str">
        <f t="shared" si="86"/>
        <v>1</v>
      </c>
      <c r="O689" t="str">
        <f t="shared" si="87"/>
        <v>1 </v>
      </c>
      <c r="P689">
        <v>27.6</v>
      </c>
      <c r="Q689" t="s">
        <v>25</v>
      </c>
    </row>
    <row r="690" spans="1:17" ht="12.75">
      <c r="A690" t="s">
        <v>17</v>
      </c>
      <c r="B690" t="s">
        <v>18</v>
      </c>
      <c r="C690" t="s">
        <v>1416</v>
      </c>
      <c r="D690" t="str">
        <f>CONCATENATE("0130021481","")</f>
        <v>0130021481</v>
      </c>
      <c r="E690" t="str">
        <f>CONCATENATE("0121015001145       ","")</f>
        <v>0121015001145       </v>
      </c>
      <c r="F690" t="str">
        <f>CONCATENATE("1930578","")</f>
        <v>1930578</v>
      </c>
      <c r="G690" t="s">
        <v>1472</v>
      </c>
      <c r="H690" t="s">
        <v>1476</v>
      </c>
      <c r="I690" t="s">
        <v>1474</v>
      </c>
      <c r="J690" t="str">
        <f t="shared" si="88"/>
        <v>081212</v>
      </c>
      <c r="K690" t="s">
        <v>23</v>
      </c>
      <c r="L690" t="s">
        <v>24</v>
      </c>
      <c r="M690" t="str">
        <f t="shared" si="86"/>
        <v>1</v>
      </c>
      <c r="O690" t="str">
        <f t="shared" si="87"/>
        <v>1 </v>
      </c>
      <c r="P690">
        <v>12.1</v>
      </c>
      <c r="Q690" t="s">
        <v>25</v>
      </c>
    </row>
    <row r="691" spans="1:17" ht="12.75">
      <c r="A691" t="s">
        <v>17</v>
      </c>
      <c r="B691" t="s">
        <v>18</v>
      </c>
      <c r="C691" t="s">
        <v>1416</v>
      </c>
      <c r="D691" t="str">
        <f>CONCATENATE("0130019092","")</f>
        <v>0130019092</v>
      </c>
      <c r="E691" t="str">
        <f>CONCATENATE("0121030001030       ","")</f>
        <v>0121030001030       </v>
      </c>
      <c r="F691" t="str">
        <f>CONCATENATE("90601545","")</f>
        <v>90601545</v>
      </c>
      <c r="G691" t="s">
        <v>1477</v>
      </c>
      <c r="H691" t="s">
        <v>1478</v>
      </c>
      <c r="I691" t="s">
        <v>1479</v>
      </c>
      <c r="J691" t="str">
        <f t="shared" si="88"/>
        <v>081212</v>
      </c>
      <c r="K691" t="s">
        <v>23</v>
      </c>
      <c r="L691" t="s">
        <v>24</v>
      </c>
      <c r="M691" t="str">
        <f t="shared" si="86"/>
        <v>1</v>
      </c>
      <c r="O691" t="str">
        <f t="shared" si="87"/>
        <v>1 </v>
      </c>
      <c r="P691">
        <v>14.6</v>
      </c>
      <c r="Q691" t="s">
        <v>25</v>
      </c>
    </row>
    <row r="692" spans="1:17" ht="12.75">
      <c r="A692" t="s">
        <v>17</v>
      </c>
      <c r="B692" t="s">
        <v>18</v>
      </c>
      <c r="C692" t="s">
        <v>1416</v>
      </c>
      <c r="D692" t="str">
        <f>CONCATENATE("0130021347","")</f>
        <v>0130021347</v>
      </c>
      <c r="E692" t="str">
        <f>CONCATENATE("0121035001040       ","")</f>
        <v>0121035001040       </v>
      </c>
      <c r="F692" t="str">
        <f>CONCATENATE("1943544","")</f>
        <v>1943544</v>
      </c>
      <c r="G692" t="s">
        <v>1480</v>
      </c>
      <c r="H692" t="s">
        <v>1481</v>
      </c>
      <c r="I692" t="s">
        <v>1482</v>
      </c>
      <c r="J692" t="str">
        <f t="shared" si="88"/>
        <v>081212</v>
      </c>
      <c r="K692" t="s">
        <v>23</v>
      </c>
      <c r="L692" t="s">
        <v>24</v>
      </c>
      <c r="M692" t="str">
        <f t="shared" si="86"/>
        <v>1</v>
      </c>
      <c r="O692" t="str">
        <f t="shared" si="87"/>
        <v>1 </v>
      </c>
      <c r="P692">
        <v>15.25</v>
      </c>
      <c r="Q692" t="s">
        <v>25</v>
      </c>
    </row>
    <row r="693" spans="1:17" ht="12.75">
      <c r="A693" t="s">
        <v>17</v>
      </c>
      <c r="B693" t="s">
        <v>18</v>
      </c>
      <c r="C693" t="s">
        <v>1416</v>
      </c>
      <c r="D693" t="str">
        <f>CONCATENATE("0130018931","")</f>
        <v>0130018931</v>
      </c>
      <c r="E693" t="str">
        <f>CONCATENATE("0121035001100       ","")</f>
        <v>0121035001100       </v>
      </c>
      <c r="F693" t="str">
        <f>CONCATENATE("90600900","")</f>
        <v>90600900</v>
      </c>
      <c r="G693" t="s">
        <v>1480</v>
      </c>
      <c r="H693" t="s">
        <v>1483</v>
      </c>
      <c r="I693" t="s">
        <v>1484</v>
      </c>
      <c r="J693" t="str">
        <f t="shared" si="88"/>
        <v>081212</v>
      </c>
      <c r="K693" t="s">
        <v>23</v>
      </c>
      <c r="L693" t="s">
        <v>24</v>
      </c>
      <c r="M693" t="str">
        <f t="shared" si="86"/>
        <v>1</v>
      </c>
      <c r="O693" t="str">
        <f t="shared" si="87"/>
        <v>1 </v>
      </c>
      <c r="P693">
        <v>21.5</v>
      </c>
      <c r="Q693" t="s">
        <v>25</v>
      </c>
    </row>
    <row r="694" spans="1:17" ht="12.75">
      <c r="A694" t="s">
        <v>17</v>
      </c>
      <c r="B694" t="s">
        <v>18</v>
      </c>
      <c r="C694" t="s">
        <v>1416</v>
      </c>
      <c r="D694" t="str">
        <f>CONCATENATE("0130020248","")</f>
        <v>0130020248</v>
      </c>
      <c r="E694" t="str">
        <f>CONCATENATE("0121035001183       ","")</f>
        <v>0121035001183       </v>
      </c>
      <c r="F694" t="str">
        <f>CONCATENATE("605935126","")</f>
        <v>605935126</v>
      </c>
      <c r="G694" t="s">
        <v>1480</v>
      </c>
      <c r="H694" t="s">
        <v>1485</v>
      </c>
      <c r="I694" t="s">
        <v>1486</v>
      </c>
      <c r="J694" t="str">
        <f t="shared" si="88"/>
        <v>081212</v>
      </c>
      <c r="K694" t="s">
        <v>23</v>
      </c>
      <c r="L694" t="s">
        <v>24</v>
      </c>
      <c r="M694" t="str">
        <f t="shared" si="86"/>
        <v>1</v>
      </c>
      <c r="O694" t="str">
        <f t="shared" si="87"/>
        <v>1 </v>
      </c>
      <c r="P694">
        <v>14.05</v>
      </c>
      <c r="Q694" t="s">
        <v>25</v>
      </c>
    </row>
    <row r="695" spans="1:17" ht="12.75">
      <c r="A695" t="s">
        <v>17</v>
      </c>
      <c r="B695" t="s">
        <v>18</v>
      </c>
      <c r="C695" t="s">
        <v>1416</v>
      </c>
      <c r="D695" t="str">
        <f>CONCATENATE("0040033003","")</f>
        <v>0040033003</v>
      </c>
      <c r="E695" t="str">
        <f>CONCATENATE("0121035001197       ","")</f>
        <v>0121035001197       </v>
      </c>
      <c r="F695" t="str">
        <f>CONCATENATE("2187110","")</f>
        <v>2187110</v>
      </c>
      <c r="G695" t="s">
        <v>1480</v>
      </c>
      <c r="H695" t="s">
        <v>1487</v>
      </c>
      <c r="I695" t="s">
        <v>1488</v>
      </c>
      <c r="J695" t="str">
        <f t="shared" si="88"/>
        <v>081212</v>
      </c>
      <c r="K695" t="s">
        <v>23</v>
      </c>
      <c r="L695" t="s">
        <v>24</v>
      </c>
      <c r="M695" t="str">
        <f t="shared" si="86"/>
        <v>1</v>
      </c>
      <c r="O695" t="str">
        <f t="shared" si="87"/>
        <v>1 </v>
      </c>
      <c r="P695">
        <v>16.9</v>
      </c>
      <c r="Q695" t="s">
        <v>25</v>
      </c>
    </row>
    <row r="696" spans="1:17" ht="12.75">
      <c r="A696" t="s">
        <v>17</v>
      </c>
      <c r="B696" t="s">
        <v>18</v>
      </c>
      <c r="C696" t="s">
        <v>1416</v>
      </c>
      <c r="D696" t="str">
        <f>CONCATENATE("0130018962","")</f>
        <v>0130018962</v>
      </c>
      <c r="E696" t="str">
        <f>CONCATENATE("0121035002120       ","")</f>
        <v>0121035002120       </v>
      </c>
      <c r="F696" t="str">
        <f>CONCATENATE("90500966","")</f>
        <v>90500966</v>
      </c>
      <c r="G696" t="s">
        <v>1480</v>
      </c>
      <c r="H696" t="s">
        <v>1489</v>
      </c>
      <c r="I696" t="s">
        <v>1484</v>
      </c>
      <c r="J696" t="str">
        <f t="shared" si="88"/>
        <v>081212</v>
      </c>
      <c r="K696" t="s">
        <v>23</v>
      </c>
      <c r="L696" t="s">
        <v>24</v>
      </c>
      <c r="M696" t="str">
        <f t="shared" si="86"/>
        <v>1</v>
      </c>
      <c r="O696" t="str">
        <f t="shared" si="87"/>
        <v>1 </v>
      </c>
      <c r="P696">
        <v>14.6</v>
      </c>
      <c r="Q696" t="s">
        <v>25</v>
      </c>
    </row>
    <row r="697" spans="1:17" ht="12.75">
      <c r="A697" t="s">
        <v>17</v>
      </c>
      <c r="B697" t="s">
        <v>18</v>
      </c>
      <c r="C697" t="s">
        <v>1416</v>
      </c>
      <c r="D697" t="str">
        <f>CONCATENATE("0040035749","")</f>
        <v>0040035749</v>
      </c>
      <c r="E697" t="str">
        <f>CONCATENATE("0121035002255       ","")</f>
        <v>0121035002255       </v>
      </c>
      <c r="F697" t="str">
        <f>CONCATENATE("606598648","")</f>
        <v>606598648</v>
      </c>
      <c r="G697" t="s">
        <v>1480</v>
      </c>
      <c r="H697" t="s">
        <v>1490</v>
      </c>
      <c r="I697" t="s">
        <v>1491</v>
      </c>
      <c r="J697" t="str">
        <f t="shared" si="88"/>
        <v>081212</v>
      </c>
      <c r="K697" t="s">
        <v>23</v>
      </c>
      <c r="L697" t="s">
        <v>24</v>
      </c>
      <c r="M697" t="str">
        <f t="shared" si="86"/>
        <v>1</v>
      </c>
      <c r="O697" t="str">
        <f t="shared" si="87"/>
        <v>1 </v>
      </c>
      <c r="P697">
        <v>14.4</v>
      </c>
      <c r="Q697" t="s">
        <v>25</v>
      </c>
    </row>
    <row r="698" spans="1:17" ht="12.75">
      <c r="A698" t="s">
        <v>17</v>
      </c>
      <c r="B698" t="s">
        <v>18</v>
      </c>
      <c r="C698" t="s">
        <v>1416</v>
      </c>
      <c r="D698" t="str">
        <f>CONCATENATE("0130017992","")</f>
        <v>0130017992</v>
      </c>
      <c r="E698" t="str">
        <f>CONCATENATE("0121045001080       ","")</f>
        <v>0121045001080       </v>
      </c>
      <c r="F698" t="str">
        <f>CONCATENATE("90500730","")</f>
        <v>90500730</v>
      </c>
      <c r="G698" t="s">
        <v>1492</v>
      </c>
      <c r="H698" t="s">
        <v>1493</v>
      </c>
      <c r="I698" t="s">
        <v>1494</v>
      </c>
      <c r="J698" t="str">
        <f t="shared" si="88"/>
        <v>081212</v>
      </c>
      <c r="K698" t="s">
        <v>23</v>
      </c>
      <c r="L698" t="s">
        <v>24</v>
      </c>
      <c r="M698" t="str">
        <f t="shared" si="86"/>
        <v>1</v>
      </c>
      <c r="O698" t="str">
        <f t="shared" si="87"/>
        <v>1 </v>
      </c>
      <c r="P698">
        <v>12.75</v>
      </c>
      <c r="Q698" t="s">
        <v>25</v>
      </c>
    </row>
    <row r="699" spans="1:17" ht="12.75">
      <c r="A699" t="s">
        <v>17</v>
      </c>
      <c r="B699" t="s">
        <v>18</v>
      </c>
      <c r="C699" t="s">
        <v>1416</v>
      </c>
      <c r="D699" t="str">
        <f>CONCATENATE("0130017859","")</f>
        <v>0130017859</v>
      </c>
      <c r="E699" t="str">
        <f>CONCATENATE("0121050001000       ","")</f>
        <v>0121050001000       </v>
      </c>
      <c r="F699" t="str">
        <f>CONCATENATE("90500955","")</f>
        <v>90500955</v>
      </c>
      <c r="G699" t="s">
        <v>1495</v>
      </c>
      <c r="H699" t="s">
        <v>1496</v>
      </c>
      <c r="I699" t="s">
        <v>1497</v>
      </c>
      <c r="J699" t="str">
        <f t="shared" si="88"/>
        <v>081212</v>
      </c>
      <c r="K699" t="s">
        <v>23</v>
      </c>
      <c r="L699" t="s">
        <v>24</v>
      </c>
      <c r="M699" t="str">
        <f t="shared" si="86"/>
        <v>1</v>
      </c>
      <c r="O699" t="str">
        <f t="shared" si="87"/>
        <v>1 </v>
      </c>
      <c r="P699">
        <v>12</v>
      </c>
      <c r="Q699" t="s">
        <v>25</v>
      </c>
    </row>
    <row r="700" spans="1:17" ht="12.75">
      <c r="A700" t="s">
        <v>17</v>
      </c>
      <c r="B700" t="s">
        <v>18</v>
      </c>
      <c r="C700" t="s">
        <v>1416</v>
      </c>
      <c r="D700" t="str">
        <f>CONCATENATE("0130017870","")</f>
        <v>0130017870</v>
      </c>
      <c r="E700" t="str">
        <f>CONCATENATE("0121050002050       ","")</f>
        <v>0121050002050       </v>
      </c>
      <c r="F700" t="str">
        <f>CONCATENATE("90500954","")</f>
        <v>90500954</v>
      </c>
      <c r="G700" t="s">
        <v>1495</v>
      </c>
      <c r="H700" t="s">
        <v>1498</v>
      </c>
      <c r="I700" t="s">
        <v>1497</v>
      </c>
      <c r="J700" t="str">
        <f t="shared" si="88"/>
        <v>081212</v>
      </c>
      <c r="K700" t="s">
        <v>23</v>
      </c>
      <c r="L700" t="s">
        <v>24</v>
      </c>
      <c r="M700" t="str">
        <f t="shared" si="86"/>
        <v>1</v>
      </c>
      <c r="O700" t="str">
        <f>CONCATENATE("2 ","")</f>
        <v>2 </v>
      </c>
      <c r="P700">
        <v>21.3</v>
      </c>
      <c r="Q700" t="s">
        <v>25</v>
      </c>
    </row>
    <row r="701" spans="1:17" ht="12.75">
      <c r="A701" t="s">
        <v>17</v>
      </c>
      <c r="B701" t="s">
        <v>18</v>
      </c>
      <c r="C701" t="s">
        <v>1416</v>
      </c>
      <c r="D701" t="str">
        <f>CONCATENATE("0040038344","")</f>
        <v>0040038344</v>
      </c>
      <c r="E701" t="str">
        <f>CONCATENATE("0121051001010       ","")</f>
        <v>0121051001010       </v>
      </c>
      <c r="F701" t="str">
        <f>CONCATENATE("605916441","")</f>
        <v>605916441</v>
      </c>
      <c r="G701" t="s">
        <v>1499</v>
      </c>
      <c r="H701" t="s">
        <v>1500</v>
      </c>
      <c r="I701" t="s">
        <v>1501</v>
      </c>
      <c r="J701" t="str">
        <f t="shared" si="88"/>
        <v>081212</v>
      </c>
      <c r="K701" t="s">
        <v>23</v>
      </c>
      <c r="L701" t="s">
        <v>24</v>
      </c>
      <c r="M701" t="str">
        <f t="shared" si="86"/>
        <v>1</v>
      </c>
      <c r="O701" t="str">
        <f aca="true" t="shared" si="89" ref="O701:O711">CONCATENATE("1 ","")</f>
        <v>1 </v>
      </c>
      <c r="P701">
        <v>11.9</v>
      </c>
      <c r="Q701" t="s">
        <v>25</v>
      </c>
    </row>
    <row r="702" spans="1:17" ht="12.75">
      <c r="A702" t="s">
        <v>17</v>
      </c>
      <c r="B702" t="s">
        <v>18</v>
      </c>
      <c r="C702" t="s">
        <v>1416</v>
      </c>
      <c r="D702" t="str">
        <f>CONCATENATE("0040038338","")</f>
        <v>0040038338</v>
      </c>
      <c r="E702" t="str">
        <f>CONCATENATE("0121051001020       ","")</f>
        <v>0121051001020       </v>
      </c>
      <c r="F702" t="str">
        <f>CONCATENATE("605916444","")</f>
        <v>605916444</v>
      </c>
      <c r="G702" t="s">
        <v>1499</v>
      </c>
      <c r="H702" t="s">
        <v>1502</v>
      </c>
      <c r="I702" t="s">
        <v>1501</v>
      </c>
      <c r="J702" t="str">
        <f t="shared" si="88"/>
        <v>081212</v>
      </c>
      <c r="K702" t="s">
        <v>23</v>
      </c>
      <c r="L702" t="s">
        <v>24</v>
      </c>
      <c r="M702" t="str">
        <f t="shared" si="86"/>
        <v>1</v>
      </c>
      <c r="O702" t="str">
        <f t="shared" si="89"/>
        <v>1 </v>
      </c>
      <c r="P702">
        <v>12.75</v>
      </c>
      <c r="Q702" t="s">
        <v>25</v>
      </c>
    </row>
    <row r="703" spans="1:17" ht="12.75">
      <c r="A703" t="s">
        <v>17</v>
      </c>
      <c r="B703" t="s">
        <v>18</v>
      </c>
      <c r="C703" t="s">
        <v>1416</v>
      </c>
      <c r="D703" t="str">
        <f>CONCATENATE("0040038450","")</f>
        <v>0040038450</v>
      </c>
      <c r="E703" t="str">
        <f>CONCATENATE("0121051001040       ","")</f>
        <v>0121051001040       </v>
      </c>
      <c r="F703" t="str">
        <f>CONCATENATE("605916415","")</f>
        <v>605916415</v>
      </c>
      <c r="G703" t="s">
        <v>1499</v>
      </c>
      <c r="H703" t="s">
        <v>1503</v>
      </c>
      <c r="I703" t="s">
        <v>1501</v>
      </c>
      <c r="J703" t="str">
        <f t="shared" si="88"/>
        <v>081212</v>
      </c>
      <c r="K703" t="s">
        <v>23</v>
      </c>
      <c r="L703" t="s">
        <v>24</v>
      </c>
      <c r="M703" t="str">
        <f t="shared" si="86"/>
        <v>1</v>
      </c>
      <c r="O703" t="str">
        <f t="shared" si="89"/>
        <v>1 </v>
      </c>
      <c r="P703">
        <v>21.35</v>
      </c>
      <c r="Q703" t="s">
        <v>25</v>
      </c>
    </row>
    <row r="704" spans="1:17" ht="12.75">
      <c r="A704" t="s">
        <v>17</v>
      </c>
      <c r="B704" t="s">
        <v>18</v>
      </c>
      <c r="C704" t="s">
        <v>1416</v>
      </c>
      <c r="D704" t="str">
        <f>CONCATENATE("0040038342","")</f>
        <v>0040038342</v>
      </c>
      <c r="E704" t="str">
        <f>CONCATENATE("0121051001060       ","")</f>
        <v>0121051001060       </v>
      </c>
      <c r="F704" t="str">
        <f>CONCATENATE("605916416","")</f>
        <v>605916416</v>
      </c>
      <c r="G704" t="s">
        <v>1499</v>
      </c>
      <c r="H704" t="s">
        <v>1504</v>
      </c>
      <c r="I704" t="s">
        <v>1501</v>
      </c>
      <c r="J704" t="str">
        <f t="shared" si="88"/>
        <v>081212</v>
      </c>
      <c r="K704" t="s">
        <v>23</v>
      </c>
      <c r="L704" t="s">
        <v>24</v>
      </c>
      <c r="M704" t="str">
        <f t="shared" si="86"/>
        <v>1</v>
      </c>
      <c r="O704" t="str">
        <f t="shared" si="89"/>
        <v>1 </v>
      </c>
      <c r="P704">
        <v>12.35</v>
      </c>
      <c r="Q704" t="s">
        <v>25</v>
      </c>
    </row>
    <row r="705" spans="1:17" ht="12.75">
      <c r="A705" t="s">
        <v>17</v>
      </c>
      <c r="B705" t="s">
        <v>18</v>
      </c>
      <c r="C705" t="s">
        <v>1416</v>
      </c>
      <c r="D705" t="str">
        <f>CONCATENATE("0040038358","")</f>
        <v>0040038358</v>
      </c>
      <c r="E705" t="str">
        <f>CONCATENATE("0121051001070       ","")</f>
        <v>0121051001070       </v>
      </c>
      <c r="F705" t="str">
        <f>CONCATENATE("605916448","")</f>
        <v>605916448</v>
      </c>
      <c r="G705" t="s">
        <v>1499</v>
      </c>
      <c r="H705" t="s">
        <v>1505</v>
      </c>
      <c r="I705" t="s">
        <v>1501</v>
      </c>
      <c r="J705" t="str">
        <f t="shared" si="88"/>
        <v>081212</v>
      </c>
      <c r="K705" t="s">
        <v>23</v>
      </c>
      <c r="L705" t="s">
        <v>24</v>
      </c>
      <c r="M705" t="str">
        <f t="shared" si="86"/>
        <v>1</v>
      </c>
      <c r="O705" t="str">
        <f t="shared" si="89"/>
        <v>1 </v>
      </c>
      <c r="P705">
        <v>25.45</v>
      </c>
      <c r="Q705" t="s">
        <v>25</v>
      </c>
    </row>
    <row r="706" spans="1:17" ht="12.75">
      <c r="A706" t="s">
        <v>17</v>
      </c>
      <c r="B706" t="s">
        <v>18</v>
      </c>
      <c r="C706" t="s">
        <v>1416</v>
      </c>
      <c r="D706" t="str">
        <f>CONCATENATE("0040038317","")</f>
        <v>0040038317</v>
      </c>
      <c r="E706" t="str">
        <f>CONCATENATE("0121051001120       ","")</f>
        <v>0121051001120       </v>
      </c>
      <c r="F706" t="str">
        <f>CONCATENATE("605916436","")</f>
        <v>605916436</v>
      </c>
      <c r="G706" t="s">
        <v>1499</v>
      </c>
      <c r="H706" t="s">
        <v>1506</v>
      </c>
      <c r="I706" t="s">
        <v>1501</v>
      </c>
      <c r="J706" t="str">
        <f t="shared" si="88"/>
        <v>081212</v>
      </c>
      <c r="K706" t="s">
        <v>23</v>
      </c>
      <c r="L706" t="s">
        <v>24</v>
      </c>
      <c r="M706" t="str">
        <f t="shared" si="86"/>
        <v>1</v>
      </c>
      <c r="O706" t="str">
        <f t="shared" si="89"/>
        <v>1 </v>
      </c>
      <c r="P706">
        <v>16</v>
      </c>
      <c r="Q706" t="s">
        <v>25</v>
      </c>
    </row>
    <row r="707" spans="1:17" ht="12.75">
      <c r="A707" t="s">
        <v>17</v>
      </c>
      <c r="B707" t="s">
        <v>18</v>
      </c>
      <c r="C707" t="s">
        <v>1416</v>
      </c>
      <c r="D707" t="str">
        <f>CONCATENATE("0040038348","")</f>
        <v>0040038348</v>
      </c>
      <c r="E707" t="str">
        <f>CONCATENATE("0121051001180       ","")</f>
        <v>0121051001180       </v>
      </c>
      <c r="F707" t="str">
        <f>CONCATENATE("605916440","")</f>
        <v>605916440</v>
      </c>
      <c r="G707" t="s">
        <v>1499</v>
      </c>
      <c r="H707" t="s">
        <v>1507</v>
      </c>
      <c r="I707" t="s">
        <v>1501</v>
      </c>
      <c r="J707" t="str">
        <f t="shared" si="88"/>
        <v>081212</v>
      </c>
      <c r="K707" t="s">
        <v>23</v>
      </c>
      <c r="L707" t="s">
        <v>24</v>
      </c>
      <c r="M707" t="str">
        <f t="shared" si="86"/>
        <v>1</v>
      </c>
      <c r="O707" t="str">
        <f t="shared" si="89"/>
        <v>1 </v>
      </c>
      <c r="P707">
        <v>13.15</v>
      </c>
      <c r="Q707" t="s">
        <v>25</v>
      </c>
    </row>
    <row r="708" spans="1:17" ht="12.75">
      <c r="A708" t="s">
        <v>17</v>
      </c>
      <c r="B708" t="s">
        <v>18</v>
      </c>
      <c r="C708" t="s">
        <v>1416</v>
      </c>
      <c r="D708" t="str">
        <f>CONCATENATE("0040038326","")</f>
        <v>0040038326</v>
      </c>
      <c r="E708" t="str">
        <f>CONCATENATE("0121051001220       ","")</f>
        <v>0121051001220       </v>
      </c>
      <c r="F708" t="str">
        <f>CONCATENATE("605916453","")</f>
        <v>605916453</v>
      </c>
      <c r="G708" t="s">
        <v>1499</v>
      </c>
      <c r="H708" t="s">
        <v>1490</v>
      </c>
      <c r="I708" t="s">
        <v>1501</v>
      </c>
      <c r="J708" t="str">
        <f t="shared" si="88"/>
        <v>081212</v>
      </c>
      <c r="K708" t="s">
        <v>23</v>
      </c>
      <c r="L708" t="s">
        <v>24</v>
      </c>
      <c r="M708" t="str">
        <f t="shared" si="86"/>
        <v>1</v>
      </c>
      <c r="O708" t="str">
        <f t="shared" si="89"/>
        <v>1 </v>
      </c>
      <c r="P708">
        <v>14.8</v>
      </c>
      <c r="Q708" t="s">
        <v>25</v>
      </c>
    </row>
    <row r="709" spans="1:17" ht="12.75">
      <c r="A709" t="s">
        <v>17</v>
      </c>
      <c r="B709" t="s">
        <v>18</v>
      </c>
      <c r="C709" t="s">
        <v>1416</v>
      </c>
      <c r="D709" t="str">
        <f>CONCATENATE("0040038459","")</f>
        <v>0040038459</v>
      </c>
      <c r="E709" t="str">
        <f>CONCATENATE("0121051003020       ","")</f>
        <v>0121051003020       </v>
      </c>
      <c r="F709" t="str">
        <f>CONCATENATE("605916413","")</f>
        <v>605916413</v>
      </c>
      <c r="G709" t="s">
        <v>1499</v>
      </c>
      <c r="H709" t="s">
        <v>1508</v>
      </c>
      <c r="I709" t="s">
        <v>1501</v>
      </c>
      <c r="J709" t="str">
        <f t="shared" si="88"/>
        <v>081212</v>
      </c>
      <c r="K709" t="s">
        <v>23</v>
      </c>
      <c r="L709" t="s">
        <v>24</v>
      </c>
      <c r="M709" t="str">
        <f t="shared" si="86"/>
        <v>1</v>
      </c>
      <c r="O709" t="str">
        <f t="shared" si="89"/>
        <v>1 </v>
      </c>
      <c r="P709">
        <v>11.9</v>
      </c>
      <c r="Q709" t="s">
        <v>25</v>
      </c>
    </row>
    <row r="710" spans="1:17" ht="12.75">
      <c r="A710" t="s">
        <v>17</v>
      </c>
      <c r="B710" t="s">
        <v>18</v>
      </c>
      <c r="C710" t="s">
        <v>1416</v>
      </c>
      <c r="D710" t="str">
        <f>CONCATENATE("0040038452","")</f>
        <v>0040038452</v>
      </c>
      <c r="E710" t="str">
        <f>CONCATENATE("0121051003070       ","")</f>
        <v>0121051003070       </v>
      </c>
      <c r="F710" t="str">
        <f>CONCATENATE("605916452","")</f>
        <v>605916452</v>
      </c>
      <c r="G710" t="s">
        <v>1499</v>
      </c>
      <c r="H710" t="s">
        <v>1509</v>
      </c>
      <c r="I710" t="s">
        <v>1501</v>
      </c>
      <c r="J710" t="str">
        <f t="shared" si="88"/>
        <v>081212</v>
      </c>
      <c r="K710" t="s">
        <v>23</v>
      </c>
      <c r="L710" t="s">
        <v>24</v>
      </c>
      <c r="M710" t="str">
        <f t="shared" si="86"/>
        <v>1</v>
      </c>
      <c r="O710" t="str">
        <f t="shared" si="89"/>
        <v>1 </v>
      </c>
      <c r="P710">
        <v>14.8</v>
      </c>
      <c r="Q710" t="s">
        <v>25</v>
      </c>
    </row>
    <row r="711" spans="1:17" ht="12.75">
      <c r="A711" t="s">
        <v>17</v>
      </c>
      <c r="B711" t="s">
        <v>18</v>
      </c>
      <c r="C711" t="s">
        <v>1416</v>
      </c>
      <c r="D711" t="str">
        <f>CONCATENATE("0040038456","")</f>
        <v>0040038456</v>
      </c>
      <c r="E711" t="str">
        <f>CONCATENATE("0121051003110       ","")</f>
        <v>0121051003110       </v>
      </c>
      <c r="F711" t="str">
        <f>CONCATENATE("605916434","")</f>
        <v>605916434</v>
      </c>
      <c r="G711" t="s">
        <v>1499</v>
      </c>
      <c r="H711" t="s">
        <v>1510</v>
      </c>
      <c r="I711" t="s">
        <v>1501</v>
      </c>
      <c r="J711" t="str">
        <f t="shared" si="88"/>
        <v>081212</v>
      </c>
      <c r="K711" t="s">
        <v>23</v>
      </c>
      <c r="L711" t="s">
        <v>24</v>
      </c>
      <c r="M711" t="str">
        <f t="shared" si="86"/>
        <v>1</v>
      </c>
      <c r="O711" t="str">
        <f t="shared" si="89"/>
        <v>1 </v>
      </c>
      <c r="P711">
        <v>23.85</v>
      </c>
      <c r="Q711" t="s">
        <v>25</v>
      </c>
    </row>
    <row r="712" spans="1:17" ht="12.75">
      <c r="A712" t="s">
        <v>17</v>
      </c>
      <c r="B712" t="s">
        <v>18</v>
      </c>
      <c r="C712" t="s">
        <v>1416</v>
      </c>
      <c r="D712" t="str">
        <f>CONCATENATE("0040038334","")</f>
        <v>0040038334</v>
      </c>
      <c r="E712" t="str">
        <f>CONCATENATE("0121051003230       ","")</f>
        <v>0121051003230       </v>
      </c>
      <c r="F712" t="str">
        <f>CONCATENATE("605916414","")</f>
        <v>605916414</v>
      </c>
      <c r="G712" t="s">
        <v>1499</v>
      </c>
      <c r="H712" t="s">
        <v>1511</v>
      </c>
      <c r="I712" t="s">
        <v>1501</v>
      </c>
      <c r="J712" t="str">
        <f t="shared" si="88"/>
        <v>081212</v>
      </c>
      <c r="K712" t="s">
        <v>23</v>
      </c>
      <c r="L712" t="s">
        <v>24</v>
      </c>
      <c r="M712" t="str">
        <f aca="true" t="shared" si="90" ref="M712:M746">CONCATENATE("1","")</f>
        <v>1</v>
      </c>
      <c r="O712" t="str">
        <f>CONCATENATE("7 ","")</f>
        <v>7 </v>
      </c>
      <c r="P712">
        <v>70.4</v>
      </c>
      <c r="Q712" t="s">
        <v>25</v>
      </c>
    </row>
    <row r="713" spans="1:17" ht="12.75">
      <c r="A713" t="s">
        <v>17</v>
      </c>
      <c r="B713" t="s">
        <v>18</v>
      </c>
      <c r="C713" t="s">
        <v>1416</v>
      </c>
      <c r="D713" t="str">
        <f>CONCATENATE("0040038313","")</f>
        <v>0040038313</v>
      </c>
      <c r="E713" t="str">
        <f>CONCATENATE("0121052002110       ","")</f>
        <v>0121052002110       </v>
      </c>
      <c r="F713" t="str">
        <f>CONCATENATE("605916460","")</f>
        <v>605916460</v>
      </c>
      <c r="G713" t="s">
        <v>1492</v>
      </c>
      <c r="H713" t="s">
        <v>1512</v>
      </c>
      <c r="I713" t="s">
        <v>1513</v>
      </c>
      <c r="J713" t="str">
        <f t="shared" si="88"/>
        <v>081212</v>
      </c>
      <c r="K713" t="s">
        <v>23</v>
      </c>
      <c r="L713" t="s">
        <v>24</v>
      </c>
      <c r="M713" t="str">
        <f t="shared" si="90"/>
        <v>1</v>
      </c>
      <c r="O713" t="str">
        <f>CONCATENATE("1 ","")</f>
        <v>1 </v>
      </c>
      <c r="P713">
        <v>11.5</v>
      </c>
      <c r="Q713" t="s">
        <v>25</v>
      </c>
    </row>
    <row r="714" spans="1:17" ht="12.75">
      <c r="A714" t="s">
        <v>17</v>
      </c>
      <c r="B714" t="s">
        <v>18</v>
      </c>
      <c r="C714" t="s">
        <v>1416</v>
      </c>
      <c r="D714" t="str">
        <f>CONCATENATE("0130018994","")</f>
        <v>0130018994</v>
      </c>
      <c r="E714" t="str">
        <f>CONCATENATE("0121055002030       ","")</f>
        <v>0121055002030       </v>
      </c>
      <c r="F714" t="str">
        <f>CONCATENATE("90601746","")</f>
        <v>90601746</v>
      </c>
      <c r="G714" t="s">
        <v>1514</v>
      </c>
      <c r="H714" t="s">
        <v>1515</v>
      </c>
      <c r="I714" t="s">
        <v>1516</v>
      </c>
      <c r="J714" t="str">
        <f t="shared" si="88"/>
        <v>081212</v>
      </c>
      <c r="K714" t="s">
        <v>23</v>
      </c>
      <c r="L714" t="s">
        <v>24</v>
      </c>
      <c r="M714" t="str">
        <f t="shared" si="90"/>
        <v>1</v>
      </c>
      <c r="O714" t="str">
        <f>CONCATENATE("3 ","")</f>
        <v>3 </v>
      </c>
      <c r="P714">
        <v>28.05</v>
      </c>
      <c r="Q714" t="s">
        <v>25</v>
      </c>
    </row>
    <row r="715" spans="1:17" ht="12.75">
      <c r="A715" t="s">
        <v>17</v>
      </c>
      <c r="B715" t="s">
        <v>18</v>
      </c>
      <c r="C715" t="s">
        <v>19</v>
      </c>
      <c r="D715" t="str">
        <f>CONCATENATE("0040026715","")</f>
        <v>0040026715</v>
      </c>
      <c r="E715" t="str">
        <f>CONCATENATE("0121065001027       ","")</f>
        <v>0121065001027       </v>
      </c>
      <c r="F715" t="str">
        <f>CONCATENATE("1863556","")</f>
        <v>1863556</v>
      </c>
      <c r="G715" t="s">
        <v>159</v>
      </c>
      <c r="H715" t="s">
        <v>1517</v>
      </c>
      <c r="I715" t="s">
        <v>1518</v>
      </c>
      <c r="J715" t="str">
        <f>CONCATENATE("080201","")</f>
        <v>080201</v>
      </c>
      <c r="K715" t="s">
        <v>23</v>
      </c>
      <c r="L715" t="s">
        <v>24</v>
      </c>
      <c r="M715" t="str">
        <f t="shared" si="90"/>
        <v>1</v>
      </c>
      <c r="O715" t="str">
        <f>CONCATENATE("1 ","")</f>
        <v>1 </v>
      </c>
      <c r="P715">
        <v>40.9</v>
      </c>
      <c r="Q715" t="s">
        <v>25</v>
      </c>
    </row>
    <row r="716" spans="1:17" ht="12.75">
      <c r="A716" t="s">
        <v>17</v>
      </c>
      <c r="B716" t="s">
        <v>18</v>
      </c>
      <c r="C716" t="s">
        <v>1416</v>
      </c>
      <c r="D716" t="str">
        <f>CONCATENATE("0130019074","")</f>
        <v>0130019074</v>
      </c>
      <c r="E716" t="str">
        <f>CONCATENATE("0121065002020       ","")</f>
        <v>0121065002020       </v>
      </c>
      <c r="F716" t="str">
        <f>CONCATENATE("90500327","")</f>
        <v>90500327</v>
      </c>
      <c r="G716" t="s">
        <v>1519</v>
      </c>
      <c r="H716" t="s">
        <v>1520</v>
      </c>
      <c r="I716" t="s">
        <v>1521</v>
      </c>
      <c r="J716" t="str">
        <f aca="true" t="shared" si="91" ref="J716:J747">CONCATENATE("081212","")</f>
        <v>081212</v>
      </c>
      <c r="K716" t="s">
        <v>23</v>
      </c>
      <c r="L716" t="s">
        <v>24</v>
      </c>
      <c r="M716" t="str">
        <f t="shared" si="90"/>
        <v>1</v>
      </c>
      <c r="O716" t="str">
        <f>CONCATENATE("1 ","")</f>
        <v>1 </v>
      </c>
      <c r="P716">
        <v>12</v>
      </c>
      <c r="Q716" t="s">
        <v>25</v>
      </c>
    </row>
    <row r="717" spans="1:17" ht="12.75">
      <c r="A717" t="s">
        <v>17</v>
      </c>
      <c r="B717" t="s">
        <v>18</v>
      </c>
      <c r="C717" t="s">
        <v>1416</v>
      </c>
      <c r="D717" t="str">
        <f>CONCATENATE("0130019122","")</f>
        <v>0130019122</v>
      </c>
      <c r="E717" t="str">
        <f>CONCATENATE("0121075001040       ","")</f>
        <v>0121075001040       </v>
      </c>
      <c r="F717" t="str">
        <f>CONCATENATE("90500412","")</f>
        <v>90500412</v>
      </c>
      <c r="G717" t="s">
        <v>1522</v>
      </c>
      <c r="H717" t="s">
        <v>1523</v>
      </c>
      <c r="I717" t="s">
        <v>1524</v>
      </c>
      <c r="J717" t="str">
        <f t="shared" si="91"/>
        <v>081212</v>
      </c>
      <c r="K717" t="s">
        <v>23</v>
      </c>
      <c r="L717" t="s">
        <v>24</v>
      </c>
      <c r="M717" t="str">
        <f t="shared" si="90"/>
        <v>1</v>
      </c>
      <c r="O717" t="str">
        <f>CONCATENATE("1 ","")</f>
        <v>1 </v>
      </c>
      <c r="P717">
        <v>18.5</v>
      </c>
      <c r="Q717" t="s">
        <v>25</v>
      </c>
    </row>
    <row r="718" spans="1:17" ht="12.75">
      <c r="A718" t="s">
        <v>17</v>
      </c>
      <c r="B718" t="s">
        <v>18</v>
      </c>
      <c r="C718" t="s">
        <v>1416</v>
      </c>
      <c r="D718" t="str">
        <f>CONCATENATE("0130019111","")</f>
        <v>0130019111</v>
      </c>
      <c r="E718" t="str">
        <f>CONCATENATE("0121075002024       ","")</f>
        <v>0121075002024       </v>
      </c>
      <c r="F718" t="str">
        <f>CONCATENATE("90500405","")</f>
        <v>90500405</v>
      </c>
      <c r="G718" t="s">
        <v>1522</v>
      </c>
      <c r="H718" t="s">
        <v>1525</v>
      </c>
      <c r="I718" t="s">
        <v>1524</v>
      </c>
      <c r="J718" t="str">
        <f t="shared" si="91"/>
        <v>081212</v>
      </c>
      <c r="K718" t="s">
        <v>23</v>
      </c>
      <c r="L718" t="s">
        <v>24</v>
      </c>
      <c r="M718" t="str">
        <f t="shared" si="90"/>
        <v>1</v>
      </c>
      <c r="O718" t="str">
        <f>CONCATENATE("1 ","")</f>
        <v>1 </v>
      </c>
      <c r="P718">
        <v>12</v>
      </c>
      <c r="Q718" t="s">
        <v>25</v>
      </c>
    </row>
    <row r="719" spans="1:17" ht="12.75">
      <c r="A719" t="s">
        <v>17</v>
      </c>
      <c r="B719" t="s">
        <v>18</v>
      </c>
      <c r="C719" t="s">
        <v>1416</v>
      </c>
      <c r="D719" t="str">
        <f>CONCATENATE("0130019016","")</f>
        <v>0130019016</v>
      </c>
      <c r="E719" t="str">
        <f>CONCATENATE("0121080001040       ","")</f>
        <v>0121080001040       </v>
      </c>
      <c r="F719" t="str">
        <f>CONCATENATE("90500476","")</f>
        <v>90500476</v>
      </c>
      <c r="G719" t="s">
        <v>1526</v>
      </c>
      <c r="H719" t="s">
        <v>1527</v>
      </c>
      <c r="I719" t="s">
        <v>1528</v>
      </c>
      <c r="J719" t="str">
        <f t="shared" si="91"/>
        <v>081212</v>
      </c>
      <c r="K719" t="s">
        <v>23</v>
      </c>
      <c r="L719" t="s">
        <v>24</v>
      </c>
      <c r="M719" t="str">
        <f t="shared" si="90"/>
        <v>1</v>
      </c>
      <c r="O719" t="str">
        <f>CONCATENATE("4 ","")</f>
        <v>4 </v>
      </c>
      <c r="P719">
        <v>30.45</v>
      </c>
      <c r="Q719" t="s">
        <v>25</v>
      </c>
    </row>
    <row r="720" spans="1:17" ht="12.75">
      <c r="A720" t="s">
        <v>17</v>
      </c>
      <c r="B720" t="s">
        <v>18</v>
      </c>
      <c r="C720" t="s">
        <v>1416</v>
      </c>
      <c r="D720" t="str">
        <f>CONCATENATE("0130021206","")</f>
        <v>0130021206</v>
      </c>
      <c r="E720" t="str">
        <f>CONCATENATE("0121080001125       ","")</f>
        <v>0121080001125       </v>
      </c>
      <c r="F720" t="str">
        <f>CONCATENATE("1934007","")</f>
        <v>1934007</v>
      </c>
      <c r="G720" t="s">
        <v>1526</v>
      </c>
      <c r="H720" t="s">
        <v>1529</v>
      </c>
      <c r="I720" t="s">
        <v>1530</v>
      </c>
      <c r="J720" t="str">
        <f t="shared" si="91"/>
        <v>081212</v>
      </c>
      <c r="K720" t="s">
        <v>23</v>
      </c>
      <c r="L720" t="s">
        <v>24</v>
      </c>
      <c r="M720" t="str">
        <f t="shared" si="90"/>
        <v>1</v>
      </c>
      <c r="O720" t="str">
        <f>CONCATENATE("1 ","")</f>
        <v>1 </v>
      </c>
      <c r="P720">
        <v>12.95</v>
      </c>
      <c r="Q720" t="s">
        <v>25</v>
      </c>
    </row>
    <row r="721" spans="1:17" ht="12.75">
      <c r="A721" t="s">
        <v>17</v>
      </c>
      <c r="B721" t="s">
        <v>18</v>
      </c>
      <c r="C721" t="s">
        <v>1416</v>
      </c>
      <c r="D721" t="str">
        <f>CONCATENATE("0040033339","")</f>
        <v>0040033339</v>
      </c>
      <c r="E721" t="str">
        <f>CONCATENATE("0121080003050       ","")</f>
        <v>0121080003050       </v>
      </c>
      <c r="F721" t="str">
        <f>CONCATENATE("606095169","")</f>
        <v>606095169</v>
      </c>
      <c r="G721" t="s">
        <v>1526</v>
      </c>
      <c r="H721" t="s">
        <v>1531</v>
      </c>
      <c r="I721" t="s">
        <v>1532</v>
      </c>
      <c r="J721" t="str">
        <f t="shared" si="91"/>
        <v>081212</v>
      </c>
      <c r="K721" t="s">
        <v>23</v>
      </c>
      <c r="L721" t="s">
        <v>24</v>
      </c>
      <c r="M721" t="str">
        <f t="shared" si="90"/>
        <v>1</v>
      </c>
      <c r="O721" t="str">
        <f>CONCATENATE("5 ","")</f>
        <v>5 </v>
      </c>
      <c r="P721">
        <v>41.95</v>
      </c>
      <c r="Q721" t="s">
        <v>25</v>
      </c>
    </row>
    <row r="722" spans="1:17" ht="12.75">
      <c r="A722" t="s">
        <v>17</v>
      </c>
      <c r="B722" t="s">
        <v>18</v>
      </c>
      <c r="C722" t="s">
        <v>1416</v>
      </c>
      <c r="D722" t="str">
        <f>CONCATENATE("0040033341","")</f>
        <v>0040033341</v>
      </c>
      <c r="E722" t="str">
        <f>CONCATENATE("0121080003070       ","")</f>
        <v>0121080003070       </v>
      </c>
      <c r="F722" t="str">
        <f>CONCATENATE("606094822","")</f>
        <v>606094822</v>
      </c>
      <c r="G722" t="s">
        <v>1526</v>
      </c>
      <c r="H722" t="s">
        <v>1533</v>
      </c>
      <c r="I722" t="s">
        <v>1534</v>
      </c>
      <c r="J722" t="str">
        <f t="shared" si="91"/>
        <v>081212</v>
      </c>
      <c r="K722" t="s">
        <v>23</v>
      </c>
      <c r="L722" t="s">
        <v>24</v>
      </c>
      <c r="M722" t="str">
        <f t="shared" si="90"/>
        <v>1</v>
      </c>
      <c r="O722" t="str">
        <f>CONCATENATE("1 ","")</f>
        <v>1 </v>
      </c>
      <c r="P722">
        <v>15.5</v>
      </c>
      <c r="Q722" t="s">
        <v>25</v>
      </c>
    </row>
    <row r="723" spans="1:17" ht="12.75">
      <c r="A723" t="s">
        <v>17</v>
      </c>
      <c r="B723" t="s">
        <v>18</v>
      </c>
      <c r="C723" t="s">
        <v>1416</v>
      </c>
      <c r="D723" t="str">
        <f>CONCATENATE("0040033328","")</f>
        <v>0040033328</v>
      </c>
      <c r="E723" t="str">
        <f>CONCATENATE("0121080004050       ","")</f>
        <v>0121080004050       </v>
      </c>
      <c r="F723" t="str">
        <f>CONCATENATE("606094829","")</f>
        <v>606094829</v>
      </c>
      <c r="G723" t="s">
        <v>832</v>
      </c>
      <c r="H723" t="s">
        <v>1535</v>
      </c>
      <c r="I723" t="s">
        <v>1536</v>
      </c>
      <c r="J723" t="str">
        <f t="shared" si="91"/>
        <v>081212</v>
      </c>
      <c r="K723" t="s">
        <v>23</v>
      </c>
      <c r="L723" t="s">
        <v>24</v>
      </c>
      <c r="M723" t="str">
        <f t="shared" si="90"/>
        <v>1</v>
      </c>
      <c r="O723" t="str">
        <f>CONCATENATE("1 ","")</f>
        <v>1 </v>
      </c>
      <c r="P723">
        <v>13.65</v>
      </c>
      <c r="Q723" t="s">
        <v>25</v>
      </c>
    </row>
    <row r="724" spans="1:17" ht="12.75">
      <c r="A724" t="s">
        <v>17</v>
      </c>
      <c r="B724" t="s">
        <v>18</v>
      </c>
      <c r="C724" t="s">
        <v>1416</v>
      </c>
      <c r="D724" t="str">
        <f>CONCATENATE("0040033334","")</f>
        <v>0040033334</v>
      </c>
      <c r="E724" t="str">
        <f>CONCATENATE("0121080004110       ","")</f>
        <v>0121080004110       </v>
      </c>
      <c r="F724" t="str">
        <f>CONCATENATE("606094825","")</f>
        <v>606094825</v>
      </c>
      <c r="G724" t="s">
        <v>1526</v>
      </c>
      <c r="H724" t="s">
        <v>1537</v>
      </c>
      <c r="I724" t="s">
        <v>1536</v>
      </c>
      <c r="J724" t="str">
        <f t="shared" si="91"/>
        <v>081212</v>
      </c>
      <c r="K724" t="s">
        <v>23</v>
      </c>
      <c r="L724" t="s">
        <v>24</v>
      </c>
      <c r="M724" t="str">
        <f t="shared" si="90"/>
        <v>1</v>
      </c>
      <c r="O724" t="str">
        <f>CONCATENATE("1 ","")</f>
        <v>1 </v>
      </c>
      <c r="P724">
        <v>17.65</v>
      </c>
      <c r="Q724" t="s">
        <v>25</v>
      </c>
    </row>
    <row r="725" spans="1:17" ht="12.75">
      <c r="A725" t="s">
        <v>17</v>
      </c>
      <c r="B725" t="s">
        <v>18</v>
      </c>
      <c r="C725" t="s">
        <v>1416</v>
      </c>
      <c r="D725" t="str">
        <f>CONCATENATE("0040033337","")</f>
        <v>0040033337</v>
      </c>
      <c r="E725" t="str">
        <f>CONCATENATE("0121080004140       ","")</f>
        <v>0121080004140       </v>
      </c>
      <c r="F725" t="str">
        <f>CONCATENATE("606094805","")</f>
        <v>606094805</v>
      </c>
      <c r="G725" t="s">
        <v>1526</v>
      </c>
      <c r="H725" t="s">
        <v>1538</v>
      </c>
      <c r="I725" t="s">
        <v>1534</v>
      </c>
      <c r="J725" t="str">
        <f t="shared" si="91"/>
        <v>081212</v>
      </c>
      <c r="K725" t="s">
        <v>23</v>
      </c>
      <c r="L725" t="s">
        <v>24</v>
      </c>
      <c r="M725" t="str">
        <f t="shared" si="90"/>
        <v>1</v>
      </c>
      <c r="O725" t="str">
        <f>CONCATENATE("5 ","")</f>
        <v>5 </v>
      </c>
      <c r="P725">
        <v>39.6</v>
      </c>
      <c r="Q725" t="s">
        <v>25</v>
      </c>
    </row>
    <row r="726" spans="1:17" ht="12.75">
      <c r="A726" t="s">
        <v>17</v>
      </c>
      <c r="B726" t="s">
        <v>18</v>
      </c>
      <c r="C726" t="s">
        <v>1416</v>
      </c>
      <c r="D726" t="str">
        <f>CONCATENATE("0130021445","")</f>
        <v>0130021445</v>
      </c>
      <c r="E726" t="str">
        <f>CONCATENATE("0121101000074       ","")</f>
        <v>0121101000074       </v>
      </c>
      <c r="F726" t="str">
        <f>CONCATENATE("1935825","")</f>
        <v>1935825</v>
      </c>
      <c r="G726" t="s">
        <v>1539</v>
      </c>
      <c r="H726" t="s">
        <v>1540</v>
      </c>
      <c r="I726" t="s">
        <v>1541</v>
      </c>
      <c r="J726" t="str">
        <f t="shared" si="91"/>
        <v>081212</v>
      </c>
      <c r="K726" t="s">
        <v>23</v>
      </c>
      <c r="L726" t="s">
        <v>24</v>
      </c>
      <c r="M726" t="str">
        <f t="shared" si="90"/>
        <v>1</v>
      </c>
      <c r="O726" t="str">
        <f>CONCATENATE("1 ","")</f>
        <v>1 </v>
      </c>
      <c r="P726">
        <v>15.6</v>
      </c>
      <c r="Q726" t="s">
        <v>25</v>
      </c>
    </row>
    <row r="727" spans="1:17" ht="12.75">
      <c r="A727" t="s">
        <v>17</v>
      </c>
      <c r="B727" t="s">
        <v>18</v>
      </c>
      <c r="C727" t="s">
        <v>1416</v>
      </c>
      <c r="D727" t="str">
        <f>CONCATENATE("0130007754","")</f>
        <v>0130007754</v>
      </c>
      <c r="E727" t="str">
        <f>CONCATENATE("0121101000090       ","")</f>
        <v>0121101000090       </v>
      </c>
      <c r="F727" t="str">
        <f>CONCATENATE("2189859","")</f>
        <v>2189859</v>
      </c>
      <c r="G727" t="s">
        <v>1539</v>
      </c>
      <c r="H727" t="s">
        <v>1542</v>
      </c>
      <c r="I727" t="s">
        <v>260</v>
      </c>
      <c r="J727" t="str">
        <f t="shared" si="91"/>
        <v>081212</v>
      </c>
      <c r="K727" t="s">
        <v>23</v>
      </c>
      <c r="L727" t="s">
        <v>24</v>
      </c>
      <c r="M727" t="str">
        <f t="shared" si="90"/>
        <v>1</v>
      </c>
      <c r="O727" t="str">
        <f>CONCATENATE("1 ","")</f>
        <v>1 </v>
      </c>
      <c r="P727">
        <v>16</v>
      </c>
      <c r="Q727" t="s">
        <v>25</v>
      </c>
    </row>
    <row r="728" spans="1:17" ht="12.75">
      <c r="A728" t="s">
        <v>17</v>
      </c>
      <c r="B728" t="s">
        <v>18</v>
      </c>
      <c r="C728" t="s">
        <v>1416</v>
      </c>
      <c r="D728" t="str">
        <f>CONCATENATE("0130020635","")</f>
        <v>0130020635</v>
      </c>
      <c r="E728" t="str">
        <f>CONCATENATE("0121101000113       ","")</f>
        <v>0121101000113       </v>
      </c>
      <c r="F728" t="str">
        <f>CONCATENATE("1674592","")</f>
        <v>1674592</v>
      </c>
      <c r="G728" t="s">
        <v>1539</v>
      </c>
      <c r="H728" t="s">
        <v>1543</v>
      </c>
      <c r="I728" t="s">
        <v>1544</v>
      </c>
      <c r="J728" t="str">
        <f t="shared" si="91"/>
        <v>081212</v>
      </c>
      <c r="K728" t="s">
        <v>23</v>
      </c>
      <c r="L728" t="s">
        <v>24</v>
      </c>
      <c r="M728" t="str">
        <f t="shared" si="90"/>
        <v>1</v>
      </c>
      <c r="O728" t="str">
        <f>CONCATENATE("1 ","")</f>
        <v>1 </v>
      </c>
      <c r="P728">
        <v>21.8</v>
      </c>
      <c r="Q728" t="s">
        <v>25</v>
      </c>
    </row>
    <row r="729" spans="1:17" ht="12.75">
      <c r="A729" t="s">
        <v>17</v>
      </c>
      <c r="B729" t="s">
        <v>18</v>
      </c>
      <c r="C729" t="s">
        <v>1416</v>
      </c>
      <c r="D729" t="str">
        <f>CONCATENATE("0040035705","")</f>
        <v>0040035705</v>
      </c>
      <c r="E729" t="str">
        <f>CONCATENATE("0121101000164       ","")</f>
        <v>0121101000164       </v>
      </c>
      <c r="F729" t="str">
        <f>CONCATENATE("606676821","")</f>
        <v>606676821</v>
      </c>
      <c r="G729" t="s">
        <v>1539</v>
      </c>
      <c r="H729" t="s">
        <v>1545</v>
      </c>
      <c r="I729" t="s">
        <v>260</v>
      </c>
      <c r="J729" t="str">
        <f t="shared" si="91"/>
        <v>081212</v>
      </c>
      <c r="K729" t="s">
        <v>23</v>
      </c>
      <c r="L729" t="s">
        <v>24</v>
      </c>
      <c r="M729" t="str">
        <f t="shared" si="90"/>
        <v>1</v>
      </c>
      <c r="O729" t="str">
        <f>CONCATENATE("1 ","")</f>
        <v>1 </v>
      </c>
      <c r="P729">
        <v>17.6</v>
      </c>
      <c r="Q729" t="s">
        <v>25</v>
      </c>
    </row>
    <row r="730" spans="1:17" ht="12.75">
      <c r="A730" t="s">
        <v>17</v>
      </c>
      <c r="B730" t="s">
        <v>18</v>
      </c>
      <c r="C730" t="s">
        <v>1416</v>
      </c>
      <c r="D730" t="str">
        <f>CONCATENATE("0130007773","")</f>
        <v>0130007773</v>
      </c>
      <c r="E730" t="str">
        <f>CONCATENATE("0121101000290       ","")</f>
        <v>0121101000290       </v>
      </c>
      <c r="F730" t="str">
        <f>CONCATENATE("605754874","")</f>
        <v>605754874</v>
      </c>
      <c r="G730" t="s">
        <v>1539</v>
      </c>
      <c r="H730" t="s">
        <v>1546</v>
      </c>
      <c r="I730" t="s">
        <v>1547</v>
      </c>
      <c r="J730" t="str">
        <f t="shared" si="91"/>
        <v>081212</v>
      </c>
      <c r="K730" t="s">
        <v>23</v>
      </c>
      <c r="L730" t="s">
        <v>24</v>
      </c>
      <c r="M730" t="str">
        <f t="shared" si="90"/>
        <v>1</v>
      </c>
      <c r="O730" t="str">
        <f>CONCATENATE("3 ","")</f>
        <v>3 </v>
      </c>
      <c r="P730">
        <v>417.4</v>
      </c>
      <c r="Q730" t="s">
        <v>25</v>
      </c>
    </row>
    <row r="731" spans="1:17" ht="12.75">
      <c r="A731" t="s">
        <v>17</v>
      </c>
      <c r="B731" t="s">
        <v>18</v>
      </c>
      <c r="C731" t="s">
        <v>1416</v>
      </c>
      <c r="D731" t="str">
        <f>CONCATENATE("0130007775","")</f>
        <v>0130007775</v>
      </c>
      <c r="E731" t="str">
        <f>CONCATENATE("0121101000310       ","")</f>
        <v>0121101000310       </v>
      </c>
      <c r="F731" t="str">
        <f>CONCATENATE("605121485","")</f>
        <v>605121485</v>
      </c>
      <c r="G731" t="s">
        <v>1539</v>
      </c>
      <c r="H731" t="s">
        <v>1548</v>
      </c>
      <c r="I731" t="s">
        <v>260</v>
      </c>
      <c r="J731" t="str">
        <f t="shared" si="91"/>
        <v>081212</v>
      </c>
      <c r="K731" t="s">
        <v>23</v>
      </c>
      <c r="L731" t="s">
        <v>24</v>
      </c>
      <c r="M731" t="str">
        <f t="shared" si="90"/>
        <v>1</v>
      </c>
      <c r="O731" t="str">
        <f aca="true" t="shared" si="92" ref="O731:O762">CONCATENATE("1 ","")</f>
        <v>1 </v>
      </c>
      <c r="P731">
        <v>166.1</v>
      </c>
      <c r="Q731" t="s">
        <v>25</v>
      </c>
    </row>
    <row r="732" spans="1:17" ht="12.75">
      <c r="A732" t="s">
        <v>17</v>
      </c>
      <c r="B732" t="s">
        <v>18</v>
      </c>
      <c r="C732" t="s">
        <v>1416</v>
      </c>
      <c r="D732" t="str">
        <f>CONCATENATE("0130014838","")</f>
        <v>0130014838</v>
      </c>
      <c r="E732" t="str">
        <f>CONCATENATE("0121101000315       ","")</f>
        <v>0121101000315       </v>
      </c>
      <c r="F732" t="str">
        <f>CONCATENATE("605083819","")</f>
        <v>605083819</v>
      </c>
      <c r="G732" t="s">
        <v>1539</v>
      </c>
      <c r="H732" t="s">
        <v>1549</v>
      </c>
      <c r="I732" t="s">
        <v>1550</v>
      </c>
      <c r="J732" t="str">
        <f t="shared" si="91"/>
        <v>081212</v>
      </c>
      <c r="K732" t="s">
        <v>23</v>
      </c>
      <c r="L732" t="s">
        <v>24</v>
      </c>
      <c r="M732" t="str">
        <f t="shared" si="90"/>
        <v>1</v>
      </c>
      <c r="O732" t="str">
        <f t="shared" si="92"/>
        <v>1 </v>
      </c>
      <c r="P732">
        <v>132.85</v>
      </c>
      <c r="Q732" t="s">
        <v>25</v>
      </c>
    </row>
    <row r="733" spans="1:17" ht="12.75">
      <c r="A733" t="s">
        <v>17</v>
      </c>
      <c r="B733" t="s">
        <v>18</v>
      </c>
      <c r="C733" t="s">
        <v>1416</v>
      </c>
      <c r="D733" t="str">
        <f>CONCATENATE("0130007779","")</f>
        <v>0130007779</v>
      </c>
      <c r="E733" t="str">
        <f>CONCATENATE("0121101000360       ","")</f>
        <v>0121101000360       </v>
      </c>
      <c r="F733" t="str">
        <f>CONCATENATE("2191522","")</f>
        <v>2191522</v>
      </c>
      <c r="G733" t="s">
        <v>1539</v>
      </c>
      <c r="H733" t="s">
        <v>1551</v>
      </c>
      <c r="I733" t="s">
        <v>260</v>
      </c>
      <c r="J733" t="str">
        <f t="shared" si="91"/>
        <v>081212</v>
      </c>
      <c r="K733" t="s">
        <v>23</v>
      </c>
      <c r="L733" t="s">
        <v>24</v>
      </c>
      <c r="M733" t="str">
        <f t="shared" si="90"/>
        <v>1</v>
      </c>
      <c r="O733" t="str">
        <f t="shared" si="92"/>
        <v>1 </v>
      </c>
      <c r="P733">
        <v>1061</v>
      </c>
      <c r="Q733" t="s">
        <v>25</v>
      </c>
    </row>
    <row r="734" spans="1:17" ht="12.75">
      <c r="A734" t="s">
        <v>17</v>
      </c>
      <c r="B734" t="s">
        <v>18</v>
      </c>
      <c r="C734" t="s">
        <v>1416</v>
      </c>
      <c r="D734" t="str">
        <f>CONCATENATE("0130007796","")</f>
        <v>0130007796</v>
      </c>
      <c r="E734" t="str">
        <f>CONCATENATE("0121101000540       ","")</f>
        <v>0121101000540       </v>
      </c>
      <c r="F734" t="str">
        <f>CONCATENATE("605115086","")</f>
        <v>605115086</v>
      </c>
      <c r="G734" t="s">
        <v>1552</v>
      </c>
      <c r="H734" t="s">
        <v>1553</v>
      </c>
      <c r="I734" t="s">
        <v>260</v>
      </c>
      <c r="J734" t="str">
        <f t="shared" si="91"/>
        <v>081212</v>
      </c>
      <c r="K734" t="s">
        <v>23</v>
      </c>
      <c r="L734" t="s">
        <v>24</v>
      </c>
      <c r="M734" t="str">
        <f t="shared" si="90"/>
        <v>1</v>
      </c>
      <c r="O734" t="str">
        <f t="shared" si="92"/>
        <v>1 </v>
      </c>
      <c r="P734">
        <v>23.05</v>
      </c>
      <c r="Q734" t="s">
        <v>25</v>
      </c>
    </row>
    <row r="735" spans="1:17" ht="12.75">
      <c r="A735" t="s">
        <v>17</v>
      </c>
      <c r="B735" t="s">
        <v>18</v>
      </c>
      <c r="C735" t="s">
        <v>1416</v>
      </c>
      <c r="D735" t="str">
        <f>CONCATENATE("0130020650","")</f>
        <v>0130020650</v>
      </c>
      <c r="E735" t="str">
        <f>CONCATENATE("0121101000575       ","")</f>
        <v>0121101000575       </v>
      </c>
      <c r="F735" t="str">
        <f>CONCATENATE("1670832","")</f>
        <v>1670832</v>
      </c>
      <c r="G735" t="s">
        <v>1552</v>
      </c>
      <c r="H735" t="s">
        <v>1554</v>
      </c>
      <c r="I735" t="s">
        <v>1555</v>
      </c>
      <c r="J735" t="str">
        <f t="shared" si="91"/>
        <v>081212</v>
      </c>
      <c r="K735" t="s">
        <v>23</v>
      </c>
      <c r="L735" t="s">
        <v>24</v>
      </c>
      <c r="M735" t="str">
        <f t="shared" si="90"/>
        <v>1</v>
      </c>
      <c r="O735" t="str">
        <f t="shared" si="92"/>
        <v>1 </v>
      </c>
      <c r="P735">
        <v>68.8</v>
      </c>
      <c r="Q735" t="s">
        <v>25</v>
      </c>
    </row>
    <row r="736" spans="1:17" ht="12.75">
      <c r="A736" t="s">
        <v>17</v>
      </c>
      <c r="B736" t="s">
        <v>18</v>
      </c>
      <c r="C736" t="s">
        <v>1416</v>
      </c>
      <c r="D736" t="str">
        <f>CONCATENATE("0130007807","")</f>
        <v>0130007807</v>
      </c>
      <c r="E736" t="str">
        <f>CONCATENATE("0121101000650       ","")</f>
        <v>0121101000650       </v>
      </c>
      <c r="F736" t="str">
        <f>CONCATENATE("605121161","")</f>
        <v>605121161</v>
      </c>
      <c r="G736" t="s">
        <v>1552</v>
      </c>
      <c r="H736" t="s">
        <v>1556</v>
      </c>
      <c r="I736" t="s">
        <v>1557</v>
      </c>
      <c r="J736" t="str">
        <f t="shared" si="91"/>
        <v>081212</v>
      </c>
      <c r="K736" t="s">
        <v>23</v>
      </c>
      <c r="L736" t="s">
        <v>24</v>
      </c>
      <c r="M736" t="str">
        <f t="shared" si="90"/>
        <v>1</v>
      </c>
      <c r="O736" t="str">
        <f t="shared" si="92"/>
        <v>1 </v>
      </c>
      <c r="P736">
        <v>53.2</v>
      </c>
      <c r="Q736" t="s">
        <v>25</v>
      </c>
    </row>
    <row r="737" spans="1:17" ht="12.75">
      <c r="A737" t="s">
        <v>17</v>
      </c>
      <c r="B737" t="s">
        <v>18</v>
      </c>
      <c r="C737" t="s">
        <v>1416</v>
      </c>
      <c r="D737" t="str">
        <f>CONCATENATE("0040040648","")</f>
        <v>0040040648</v>
      </c>
      <c r="E737" t="str">
        <f>CONCATENATE("0121101000708       ","")</f>
        <v>0121101000708       </v>
      </c>
      <c r="F737" t="str">
        <f>CONCATENATE("606811714","")</f>
        <v>606811714</v>
      </c>
      <c r="G737" t="s">
        <v>1552</v>
      </c>
      <c r="H737" t="s">
        <v>1558</v>
      </c>
      <c r="I737" t="s">
        <v>1559</v>
      </c>
      <c r="J737" t="str">
        <f t="shared" si="91"/>
        <v>081212</v>
      </c>
      <c r="K737" t="s">
        <v>23</v>
      </c>
      <c r="L737" t="s">
        <v>24</v>
      </c>
      <c r="M737" t="str">
        <f t="shared" si="90"/>
        <v>1</v>
      </c>
      <c r="O737" t="str">
        <f t="shared" si="92"/>
        <v>1 </v>
      </c>
      <c r="P737">
        <v>12.7</v>
      </c>
      <c r="Q737" t="s">
        <v>25</v>
      </c>
    </row>
    <row r="738" spans="1:17" ht="12.75">
      <c r="A738" t="s">
        <v>17</v>
      </c>
      <c r="B738" t="s">
        <v>18</v>
      </c>
      <c r="C738" t="s">
        <v>1416</v>
      </c>
      <c r="D738" t="str">
        <f>CONCATENATE("0130007820","")</f>
        <v>0130007820</v>
      </c>
      <c r="E738" t="str">
        <f>CONCATENATE("0121101000780       ","")</f>
        <v>0121101000780       </v>
      </c>
      <c r="F738" t="str">
        <f>CONCATENATE("605119168","")</f>
        <v>605119168</v>
      </c>
      <c r="G738" t="s">
        <v>1539</v>
      </c>
      <c r="H738" t="s">
        <v>1560</v>
      </c>
      <c r="I738" t="s">
        <v>1561</v>
      </c>
      <c r="J738" t="str">
        <f t="shared" si="91"/>
        <v>081212</v>
      </c>
      <c r="K738" t="s">
        <v>23</v>
      </c>
      <c r="L738" t="s">
        <v>24</v>
      </c>
      <c r="M738" t="str">
        <f t="shared" si="90"/>
        <v>1</v>
      </c>
      <c r="O738" t="str">
        <f t="shared" si="92"/>
        <v>1 </v>
      </c>
      <c r="P738">
        <v>29.55</v>
      </c>
      <c r="Q738" t="s">
        <v>25</v>
      </c>
    </row>
    <row r="739" spans="1:17" ht="12.75">
      <c r="A739" t="s">
        <v>17</v>
      </c>
      <c r="B739" t="s">
        <v>18</v>
      </c>
      <c r="C739" t="s">
        <v>1416</v>
      </c>
      <c r="D739" t="str">
        <f>CONCATENATE("0130007821","")</f>
        <v>0130007821</v>
      </c>
      <c r="E739" t="str">
        <f>CONCATENATE("0121101000790       ","")</f>
        <v>0121101000790       </v>
      </c>
      <c r="F739" t="str">
        <f>CONCATENATE("2184593","")</f>
        <v>2184593</v>
      </c>
      <c r="G739" t="s">
        <v>1539</v>
      </c>
      <c r="H739" t="s">
        <v>1562</v>
      </c>
      <c r="I739" t="s">
        <v>1563</v>
      </c>
      <c r="J739" t="str">
        <f t="shared" si="91"/>
        <v>081212</v>
      </c>
      <c r="K739" t="s">
        <v>23</v>
      </c>
      <c r="L739" t="s">
        <v>24</v>
      </c>
      <c r="M739" t="str">
        <f t="shared" si="90"/>
        <v>1</v>
      </c>
      <c r="O739" t="str">
        <f t="shared" si="92"/>
        <v>1 </v>
      </c>
      <c r="P739">
        <v>12.4</v>
      </c>
      <c r="Q739" t="s">
        <v>25</v>
      </c>
    </row>
    <row r="740" spans="1:17" ht="12.75">
      <c r="A740" t="s">
        <v>17</v>
      </c>
      <c r="B740" t="s">
        <v>18</v>
      </c>
      <c r="C740" t="s">
        <v>1416</v>
      </c>
      <c r="D740" t="str">
        <f>CONCATENATE("0130019994","")</f>
        <v>0130019994</v>
      </c>
      <c r="E740" t="str">
        <f>CONCATENATE("0121101000935       ","")</f>
        <v>0121101000935       </v>
      </c>
      <c r="F740" t="str">
        <f>CONCATENATE("606133906","")</f>
        <v>606133906</v>
      </c>
      <c r="G740" t="s">
        <v>1539</v>
      </c>
      <c r="H740" t="s">
        <v>1564</v>
      </c>
      <c r="I740" t="s">
        <v>1565</v>
      </c>
      <c r="J740" t="str">
        <f t="shared" si="91"/>
        <v>081212</v>
      </c>
      <c r="K740" t="s">
        <v>23</v>
      </c>
      <c r="L740" t="s">
        <v>24</v>
      </c>
      <c r="M740" t="str">
        <f t="shared" si="90"/>
        <v>1</v>
      </c>
      <c r="O740" t="str">
        <f t="shared" si="92"/>
        <v>1 </v>
      </c>
      <c r="P740">
        <v>114.4</v>
      </c>
      <c r="Q740" t="s">
        <v>25</v>
      </c>
    </row>
    <row r="741" spans="1:17" ht="12.75">
      <c r="A741" t="s">
        <v>17</v>
      </c>
      <c r="B741" t="s">
        <v>18</v>
      </c>
      <c r="C741" t="s">
        <v>1416</v>
      </c>
      <c r="D741" t="str">
        <f>CONCATENATE("0130020097","")</f>
        <v>0130020097</v>
      </c>
      <c r="E741" t="str">
        <f>CONCATENATE("0121101000955       ","")</f>
        <v>0121101000955       </v>
      </c>
      <c r="F741" t="str">
        <f>CONCATENATE("606134188","")</f>
        <v>606134188</v>
      </c>
      <c r="G741" t="s">
        <v>1539</v>
      </c>
      <c r="H741" t="s">
        <v>1566</v>
      </c>
      <c r="I741" t="s">
        <v>1565</v>
      </c>
      <c r="J741" t="str">
        <f t="shared" si="91"/>
        <v>081212</v>
      </c>
      <c r="K741" t="s">
        <v>23</v>
      </c>
      <c r="L741" t="s">
        <v>24</v>
      </c>
      <c r="M741" t="str">
        <f t="shared" si="90"/>
        <v>1</v>
      </c>
      <c r="O741" t="str">
        <f t="shared" si="92"/>
        <v>1 </v>
      </c>
      <c r="P741">
        <v>26.25</v>
      </c>
      <c r="Q741" t="s">
        <v>25</v>
      </c>
    </row>
    <row r="742" spans="1:17" ht="12.75">
      <c r="A742" t="s">
        <v>17</v>
      </c>
      <c r="B742" t="s">
        <v>18</v>
      </c>
      <c r="C742" t="s">
        <v>1416</v>
      </c>
      <c r="D742" t="str">
        <f>CONCATENATE("0040040222","")</f>
        <v>0040040222</v>
      </c>
      <c r="E742" t="str">
        <f>CONCATENATE("0121101000965       ","")</f>
        <v>0121101000965       </v>
      </c>
      <c r="F742" t="str">
        <f>CONCATENATE("606855304","")</f>
        <v>606855304</v>
      </c>
      <c r="G742" t="s">
        <v>1539</v>
      </c>
      <c r="H742" t="s">
        <v>1567</v>
      </c>
      <c r="I742" t="s">
        <v>1568</v>
      </c>
      <c r="J742" t="str">
        <f t="shared" si="91"/>
        <v>081212</v>
      </c>
      <c r="K742" t="s">
        <v>23</v>
      </c>
      <c r="L742" t="s">
        <v>24</v>
      </c>
      <c r="M742" t="str">
        <f t="shared" si="90"/>
        <v>1</v>
      </c>
      <c r="O742" t="str">
        <f t="shared" si="92"/>
        <v>1 </v>
      </c>
      <c r="P742">
        <v>21.15</v>
      </c>
      <c r="Q742" t="s">
        <v>25</v>
      </c>
    </row>
    <row r="743" spans="1:17" ht="12.75">
      <c r="A743" t="s">
        <v>17</v>
      </c>
      <c r="B743" t="s">
        <v>18</v>
      </c>
      <c r="C743" t="s">
        <v>1416</v>
      </c>
      <c r="D743" t="str">
        <f>CONCATENATE("0130015459","")</f>
        <v>0130015459</v>
      </c>
      <c r="E743" t="str">
        <f>CONCATENATE("0121101001005       ","")</f>
        <v>0121101001005       </v>
      </c>
      <c r="F743" t="str">
        <f>CONCATENATE("605289964","")</f>
        <v>605289964</v>
      </c>
      <c r="G743" t="s">
        <v>1552</v>
      </c>
      <c r="H743" t="s">
        <v>1569</v>
      </c>
      <c r="I743" t="s">
        <v>1570</v>
      </c>
      <c r="J743" t="str">
        <f t="shared" si="91"/>
        <v>081212</v>
      </c>
      <c r="K743" t="s">
        <v>23</v>
      </c>
      <c r="L743" t="s">
        <v>24</v>
      </c>
      <c r="M743" t="str">
        <f t="shared" si="90"/>
        <v>1</v>
      </c>
      <c r="O743" t="str">
        <f t="shared" si="92"/>
        <v>1 </v>
      </c>
      <c r="P743">
        <v>350.15</v>
      </c>
      <c r="Q743" t="s">
        <v>25</v>
      </c>
    </row>
    <row r="744" spans="1:17" ht="12.75">
      <c r="A744" t="s">
        <v>17</v>
      </c>
      <c r="B744" t="s">
        <v>18</v>
      </c>
      <c r="C744" t="s">
        <v>1416</v>
      </c>
      <c r="D744" t="str">
        <f>CONCATENATE("0130007850","")</f>
        <v>0130007850</v>
      </c>
      <c r="E744" t="str">
        <f>CONCATENATE("0121101001090       ","")</f>
        <v>0121101001090       </v>
      </c>
      <c r="F744" t="str">
        <f>CONCATENATE("2189847","")</f>
        <v>2189847</v>
      </c>
      <c r="G744" t="s">
        <v>1552</v>
      </c>
      <c r="H744" t="s">
        <v>1571</v>
      </c>
      <c r="I744" t="s">
        <v>512</v>
      </c>
      <c r="J744" t="str">
        <f t="shared" si="91"/>
        <v>081212</v>
      </c>
      <c r="K744" t="s">
        <v>23</v>
      </c>
      <c r="L744" t="s">
        <v>24</v>
      </c>
      <c r="M744" t="str">
        <f t="shared" si="90"/>
        <v>1</v>
      </c>
      <c r="O744" t="str">
        <f t="shared" si="92"/>
        <v>1 </v>
      </c>
      <c r="P744">
        <v>77.55</v>
      </c>
      <c r="Q744" t="s">
        <v>25</v>
      </c>
    </row>
    <row r="745" spans="1:17" ht="12.75">
      <c r="A745" t="s">
        <v>17</v>
      </c>
      <c r="B745" t="s">
        <v>18</v>
      </c>
      <c r="C745" t="s">
        <v>1416</v>
      </c>
      <c r="D745" t="str">
        <f>CONCATENATE("0130007851","")</f>
        <v>0130007851</v>
      </c>
      <c r="E745" t="str">
        <f>CONCATENATE("0121101001100       ","")</f>
        <v>0121101001100       </v>
      </c>
      <c r="F745" t="str">
        <f>CONCATENATE("2189849","")</f>
        <v>2189849</v>
      </c>
      <c r="G745" t="s">
        <v>1552</v>
      </c>
      <c r="H745" t="s">
        <v>1572</v>
      </c>
      <c r="I745" t="s">
        <v>512</v>
      </c>
      <c r="J745" t="str">
        <f t="shared" si="91"/>
        <v>081212</v>
      </c>
      <c r="K745" t="s">
        <v>23</v>
      </c>
      <c r="L745" t="s">
        <v>24</v>
      </c>
      <c r="M745" t="str">
        <f t="shared" si="90"/>
        <v>1</v>
      </c>
      <c r="O745" t="str">
        <f t="shared" si="92"/>
        <v>1 </v>
      </c>
      <c r="P745">
        <v>19</v>
      </c>
      <c r="Q745" t="s">
        <v>25</v>
      </c>
    </row>
    <row r="746" spans="1:17" ht="12.75">
      <c r="A746" t="s">
        <v>17</v>
      </c>
      <c r="B746" t="s">
        <v>18</v>
      </c>
      <c r="C746" t="s">
        <v>1416</v>
      </c>
      <c r="D746" t="str">
        <f>CONCATENATE("0130007874","")</f>
        <v>0130007874</v>
      </c>
      <c r="E746" t="str">
        <f>CONCATENATE("0121101001330       ","")</f>
        <v>0121101001330       </v>
      </c>
      <c r="F746" t="str">
        <f>CONCATENATE("605083169","")</f>
        <v>605083169</v>
      </c>
      <c r="G746" t="s">
        <v>1552</v>
      </c>
      <c r="H746" t="s">
        <v>1573</v>
      </c>
      <c r="I746" t="s">
        <v>512</v>
      </c>
      <c r="J746" t="str">
        <f t="shared" si="91"/>
        <v>081212</v>
      </c>
      <c r="K746" t="s">
        <v>23</v>
      </c>
      <c r="L746" t="s">
        <v>24</v>
      </c>
      <c r="M746" t="str">
        <f t="shared" si="90"/>
        <v>1</v>
      </c>
      <c r="O746" t="str">
        <f t="shared" si="92"/>
        <v>1 </v>
      </c>
      <c r="P746">
        <v>105.1</v>
      </c>
      <c r="Q746" t="s">
        <v>25</v>
      </c>
    </row>
    <row r="747" spans="1:17" ht="12.75">
      <c r="A747" t="s">
        <v>17</v>
      </c>
      <c r="B747" t="s">
        <v>18</v>
      </c>
      <c r="C747" t="s">
        <v>1416</v>
      </c>
      <c r="D747" t="str">
        <f>CONCATENATE("0130019658","")</f>
        <v>0130019658</v>
      </c>
      <c r="E747" t="str">
        <f>CONCATENATE("0121101001365       ","")</f>
        <v>0121101001365       </v>
      </c>
      <c r="F747" t="str">
        <f>CONCATENATE("507008783","")</f>
        <v>507008783</v>
      </c>
      <c r="G747" t="s">
        <v>1552</v>
      </c>
      <c r="H747" t="s">
        <v>1574</v>
      </c>
      <c r="I747" t="s">
        <v>1575</v>
      </c>
      <c r="J747" t="str">
        <f t="shared" si="91"/>
        <v>081212</v>
      </c>
      <c r="K747" t="s">
        <v>23</v>
      </c>
      <c r="L747" t="s">
        <v>24</v>
      </c>
      <c r="M747" t="str">
        <f>CONCATENATE("3","")</f>
        <v>3</v>
      </c>
      <c r="O747" t="str">
        <f t="shared" si="92"/>
        <v>1 </v>
      </c>
      <c r="P747">
        <v>44.15</v>
      </c>
      <c r="Q747" t="s">
        <v>124</v>
      </c>
    </row>
    <row r="748" spans="1:17" ht="12.75">
      <c r="A748" t="s">
        <v>17</v>
      </c>
      <c r="B748" t="s">
        <v>18</v>
      </c>
      <c r="C748" t="s">
        <v>1416</v>
      </c>
      <c r="D748" t="str">
        <f>CONCATENATE("0130007885","")</f>
        <v>0130007885</v>
      </c>
      <c r="E748" t="str">
        <f>CONCATENATE("0121101001440       ","")</f>
        <v>0121101001440       </v>
      </c>
      <c r="F748" t="str">
        <f>CONCATENATE("605282880","")</f>
        <v>605282880</v>
      </c>
      <c r="G748" t="s">
        <v>1552</v>
      </c>
      <c r="H748" t="s">
        <v>1576</v>
      </c>
      <c r="I748" t="s">
        <v>1577</v>
      </c>
      <c r="J748" t="str">
        <f aca="true" t="shared" si="93" ref="J748:J779">CONCATENATE("081212","")</f>
        <v>081212</v>
      </c>
      <c r="K748" t="s">
        <v>23</v>
      </c>
      <c r="L748" t="s">
        <v>24</v>
      </c>
      <c r="M748" t="str">
        <f>CONCATENATE("1","")</f>
        <v>1</v>
      </c>
      <c r="O748" t="str">
        <f t="shared" si="92"/>
        <v>1 </v>
      </c>
      <c r="P748">
        <v>36.25</v>
      </c>
      <c r="Q748" t="s">
        <v>25</v>
      </c>
    </row>
    <row r="749" spans="1:17" ht="12.75">
      <c r="A749" t="s">
        <v>17</v>
      </c>
      <c r="B749" t="s">
        <v>18</v>
      </c>
      <c r="C749" t="s">
        <v>1416</v>
      </c>
      <c r="D749" t="str">
        <f>CONCATENATE("0130011427","")</f>
        <v>0130011427</v>
      </c>
      <c r="E749" t="str">
        <f>CONCATENATE("0121101001565       ","")</f>
        <v>0121101001565       </v>
      </c>
      <c r="F749" t="str">
        <f>CONCATENATE("605755026","")</f>
        <v>605755026</v>
      </c>
      <c r="G749" t="s">
        <v>1539</v>
      </c>
      <c r="H749" t="s">
        <v>1578</v>
      </c>
      <c r="I749" t="s">
        <v>1579</v>
      </c>
      <c r="J749" t="str">
        <f t="shared" si="93"/>
        <v>081212</v>
      </c>
      <c r="K749" t="s">
        <v>23</v>
      </c>
      <c r="L749" t="s">
        <v>24</v>
      </c>
      <c r="M749" t="str">
        <f>CONCATENATE("1","")</f>
        <v>1</v>
      </c>
      <c r="O749" t="str">
        <f t="shared" si="92"/>
        <v>1 </v>
      </c>
      <c r="P749">
        <v>27.1</v>
      </c>
      <c r="Q749" t="s">
        <v>25</v>
      </c>
    </row>
    <row r="750" spans="1:17" ht="12.75">
      <c r="A750" t="s">
        <v>17</v>
      </c>
      <c r="B750" t="s">
        <v>18</v>
      </c>
      <c r="C750" t="s">
        <v>1416</v>
      </c>
      <c r="D750" t="str">
        <f>CONCATENATE("0130007896","")</f>
        <v>0130007896</v>
      </c>
      <c r="E750" t="str">
        <f>CONCATENATE("0121101001580       ","")</f>
        <v>0121101001580       </v>
      </c>
      <c r="F750" t="str">
        <f>CONCATENATE("605119188","")</f>
        <v>605119188</v>
      </c>
      <c r="G750" t="s">
        <v>1539</v>
      </c>
      <c r="H750" t="s">
        <v>1580</v>
      </c>
      <c r="I750" t="s">
        <v>1581</v>
      </c>
      <c r="J750" t="str">
        <f t="shared" si="93"/>
        <v>081212</v>
      </c>
      <c r="K750" t="s">
        <v>23</v>
      </c>
      <c r="L750" t="s">
        <v>24</v>
      </c>
      <c r="M750" t="str">
        <f>CONCATENATE("1","")</f>
        <v>1</v>
      </c>
      <c r="O750" t="str">
        <f t="shared" si="92"/>
        <v>1 </v>
      </c>
      <c r="P750">
        <v>149.55</v>
      </c>
      <c r="Q750" t="s">
        <v>25</v>
      </c>
    </row>
    <row r="751" spans="1:17" ht="12.75">
      <c r="A751" t="s">
        <v>17</v>
      </c>
      <c r="B751" t="s">
        <v>18</v>
      </c>
      <c r="C751" t="s">
        <v>1416</v>
      </c>
      <c r="D751" t="str">
        <f>CONCATENATE("0130016565","")</f>
        <v>0130016565</v>
      </c>
      <c r="E751" t="str">
        <f>CONCATENATE("0121101001802       ","")</f>
        <v>0121101001802       </v>
      </c>
      <c r="F751" t="str">
        <f>CONCATENATE("111058","")</f>
        <v>111058</v>
      </c>
      <c r="G751" t="s">
        <v>1539</v>
      </c>
      <c r="H751" t="s">
        <v>1582</v>
      </c>
      <c r="I751" t="s">
        <v>1583</v>
      </c>
      <c r="J751" t="str">
        <f t="shared" si="93"/>
        <v>081212</v>
      </c>
      <c r="K751" t="s">
        <v>23</v>
      </c>
      <c r="L751" t="s">
        <v>24</v>
      </c>
      <c r="M751" t="str">
        <f>CONCATENATE("3","")</f>
        <v>3</v>
      </c>
      <c r="O751" t="str">
        <f t="shared" si="92"/>
        <v>1 </v>
      </c>
      <c r="P751">
        <v>68.4</v>
      </c>
      <c r="Q751" t="s">
        <v>124</v>
      </c>
    </row>
    <row r="752" spans="1:17" ht="12.75">
      <c r="A752" t="s">
        <v>17</v>
      </c>
      <c r="B752" t="s">
        <v>18</v>
      </c>
      <c r="C752" t="s">
        <v>1416</v>
      </c>
      <c r="D752" t="str">
        <f>CONCATENATE("0130009247","")</f>
        <v>0130009247</v>
      </c>
      <c r="E752" t="str">
        <f>CONCATENATE("0121101001812       ","")</f>
        <v>0121101001812       </v>
      </c>
      <c r="F752" t="str">
        <f>CONCATENATE("111004","")</f>
        <v>111004</v>
      </c>
      <c r="G752" t="s">
        <v>1539</v>
      </c>
      <c r="H752" t="s">
        <v>1584</v>
      </c>
      <c r="I752" t="s">
        <v>1585</v>
      </c>
      <c r="J752" t="str">
        <f t="shared" si="93"/>
        <v>081212</v>
      </c>
      <c r="K752" t="s">
        <v>23</v>
      </c>
      <c r="L752" t="s">
        <v>24</v>
      </c>
      <c r="M752" t="str">
        <f>CONCATENATE("3","")</f>
        <v>3</v>
      </c>
      <c r="O752" t="str">
        <f t="shared" si="92"/>
        <v>1 </v>
      </c>
      <c r="P752">
        <v>462.65</v>
      </c>
      <c r="Q752" t="s">
        <v>124</v>
      </c>
    </row>
    <row r="753" spans="1:17" ht="12.75">
      <c r="A753" t="s">
        <v>17</v>
      </c>
      <c r="B753" t="s">
        <v>18</v>
      </c>
      <c r="C753" t="s">
        <v>1416</v>
      </c>
      <c r="D753" t="str">
        <f>CONCATENATE("0130007941","")</f>
        <v>0130007941</v>
      </c>
      <c r="E753" t="str">
        <f>CONCATENATE("0121101002100       ","")</f>
        <v>0121101002100       </v>
      </c>
      <c r="F753" t="str">
        <f>CONCATENATE("5046549","")</f>
        <v>5046549</v>
      </c>
      <c r="G753" t="s">
        <v>1552</v>
      </c>
      <c r="H753" t="s">
        <v>1586</v>
      </c>
      <c r="I753" t="s">
        <v>1587</v>
      </c>
      <c r="J753" t="str">
        <f t="shared" si="93"/>
        <v>081212</v>
      </c>
      <c r="K753" t="s">
        <v>23</v>
      </c>
      <c r="L753" t="s">
        <v>24</v>
      </c>
      <c r="M753" t="str">
        <f>CONCATENATE("3","")</f>
        <v>3</v>
      </c>
      <c r="O753" t="str">
        <f t="shared" si="92"/>
        <v>1 </v>
      </c>
      <c r="P753">
        <v>32.8</v>
      </c>
      <c r="Q753" t="s">
        <v>124</v>
      </c>
    </row>
    <row r="754" spans="1:17" ht="12.75">
      <c r="A754" t="s">
        <v>17</v>
      </c>
      <c r="B754" t="s">
        <v>18</v>
      </c>
      <c r="C754" t="s">
        <v>1416</v>
      </c>
      <c r="D754" t="str">
        <f>CONCATENATE("0130008446","")</f>
        <v>0130008446</v>
      </c>
      <c r="E754" t="str">
        <f>CONCATENATE("0121101002212       ","")</f>
        <v>0121101002212       </v>
      </c>
      <c r="F754" t="str">
        <f>CONCATENATE("606600230","")</f>
        <v>606600230</v>
      </c>
      <c r="G754" t="s">
        <v>1552</v>
      </c>
      <c r="H754" t="s">
        <v>1588</v>
      </c>
      <c r="I754" t="s">
        <v>1589</v>
      </c>
      <c r="J754" t="str">
        <f t="shared" si="93"/>
        <v>081212</v>
      </c>
      <c r="K754" t="s">
        <v>23</v>
      </c>
      <c r="L754" t="s">
        <v>24</v>
      </c>
      <c r="M754" t="str">
        <f aca="true" t="shared" si="94" ref="M754:M770">CONCATENATE("1","")</f>
        <v>1</v>
      </c>
      <c r="O754" t="str">
        <f t="shared" si="92"/>
        <v>1 </v>
      </c>
      <c r="P754">
        <v>42.2</v>
      </c>
      <c r="Q754" t="s">
        <v>25</v>
      </c>
    </row>
    <row r="755" spans="1:17" ht="12.75">
      <c r="A755" t="s">
        <v>17</v>
      </c>
      <c r="B755" t="s">
        <v>18</v>
      </c>
      <c r="C755" t="s">
        <v>1416</v>
      </c>
      <c r="D755" t="str">
        <f>CONCATENATE("0130007952","")</f>
        <v>0130007952</v>
      </c>
      <c r="E755" t="str">
        <f>CONCATENATE("0121101002215       ","")</f>
        <v>0121101002215       </v>
      </c>
      <c r="F755" t="str">
        <f>CONCATENATE("605291669","")</f>
        <v>605291669</v>
      </c>
      <c r="G755" t="s">
        <v>1552</v>
      </c>
      <c r="H755" t="s">
        <v>1590</v>
      </c>
      <c r="I755" t="s">
        <v>1591</v>
      </c>
      <c r="J755" t="str">
        <f t="shared" si="93"/>
        <v>081212</v>
      </c>
      <c r="K755" t="s">
        <v>23</v>
      </c>
      <c r="L755" t="s">
        <v>24</v>
      </c>
      <c r="M755" t="str">
        <f t="shared" si="94"/>
        <v>1</v>
      </c>
      <c r="O755" t="str">
        <f t="shared" si="92"/>
        <v>1 </v>
      </c>
      <c r="P755">
        <v>38.55</v>
      </c>
      <c r="Q755" t="s">
        <v>25</v>
      </c>
    </row>
    <row r="756" spans="1:17" ht="12.75">
      <c r="A756" t="s">
        <v>17</v>
      </c>
      <c r="B756" t="s">
        <v>18</v>
      </c>
      <c r="C756" t="s">
        <v>1416</v>
      </c>
      <c r="D756" t="str">
        <f>CONCATENATE("0040030618","")</f>
        <v>0040030618</v>
      </c>
      <c r="E756" t="str">
        <f>CONCATENATE("0121101002285       ","")</f>
        <v>0121101002285       </v>
      </c>
      <c r="F756" t="str">
        <f>CONCATENATE("2182344","")</f>
        <v>2182344</v>
      </c>
      <c r="G756" t="s">
        <v>1552</v>
      </c>
      <c r="H756" t="s">
        <v>1592</v>
      </c>
      <c r="I756" t="s">
        <v>1593</v>
      </c>
      <c r="J756" t="str">
        <f t="shared" si="93"/>
        <v>081212</v>
      </c>
      <c r="K756" t="s">
        <v>23</v>
      </c>
      <c r="L756" t="s">
        <v>24</v>
      </c>
      <c r="M756" t="str">
        <f t="shared" si="94"/>
        <v>1</v>
      </c>
      <c r="O756" t="str">
        <f t="shared" si="92"/>
        <v>1 </v>
      </c>
      <c r="P756">
        <v>28.8</v>
      </c>
      <c r="Q756" t="s">
        <v>25</v>
      </c>
    </row>
    <row r="757" spans="1:17" ht="12.75">
      <c r="A757" t="s">
        <v>17</v>
      </c>
      <c r="B757" t="s">
        <v>18</v>
      </c>
      <c r="C757" t="s">
        <v>1416</v>
      </c>
      <c r="D757" t="str">
        <f>CONCATENATE("0130007970","")</f>
        <v>0130007970</v>
      </c>
      <c r="E757" t="str">
        <f>CONCATENATE("0121101002390       ","")</f>
        <v>0121101002390       </v>
      </c>
      <c r="F757" t="str">
        <f>CONCATENATE("605285159","")</f>
        <v>605285159</v>
      </c>
      <c r="G757" t="s">
        <v>1552</v>
      </c>
      <c r="H757" t="s">
        <v>1594</v>
      </c>
      <c r="I757" t="s">
        <v>365</v>
      </c>
      <c r="J757" t="str">
        <f t="shared" si="93"/>
        <v>081212</v>
      </c>
      <c r="K757" t="s">
        <v>23</v>
      </c>
      <c r="L757" t="s">
        <v>24</v>
      </c>
      <c r="M757" t="str">
        <f t="shared" si="94"/>
        <v>1</v>
      </c>
      <c r="O757" t="str">
        <f t="shared" si="92"/>
        <v>1 </v>
      </c>
      <c r="P757">
        <v>33.25</v>
      </c>
      <c r="Q757" t="s">
        <v>25</v>
      </c>
    </row>
    <row r="758" spans="1:17" ht="12.75">
      <c r="A758" t="s">
        <v>17</v>
      </c>
      <c r="B758" t="s">
        <v>18</v>
      </c>
      <c r="C758" t="s">
        <v>1416</v>
      </c>
      <c r="D758" t="str">
        <f>CONCATENATE("0130021221","")</f>
        <v>0130021221</v>
      </c>
      <c r="E758" t="str">
        <f>CONCATENATE("0121101002415       ","")</f>
        <v>0121101002415       </v>
      </c>
      <c r="F758" t="str">
        <f>CONCATENATE("1937211","")</f>
        <v>1937211</v>
      </c>
      <c r="G758" t="s">
        <v>1552</v>
      </c>
      <c r="H758" t="s">
        <v>1595</v>
      </c>
      <c r="I758" t="s">
        <v>1596</v>
      </c>
      <c r="J758" t="str">
        <f t="shared" si="93"/>
        <v>081212</v>
      </c>
      <c r="K758" t="s">
        <v>23</v>
      </c>
      <c r="L758" t="s">
        <v>24</v>
      </c>
      <c r="M758" t="str">
        <f t="shared" si="94"/>
        <v>1</v>
      </c>
      <c r="O758" t="str">
        <f t="shared" si="92"/>
        <v>1 </v>
      </c>
      <c r="P758">
        <v>41</v>
      </c>
      <c r="Q758" t="s">
        <v>25</v>
      </c>
    </row>
    <row r="759" spans="1:17" ht="12.75">
      <c r="A759" t="s">
        <v>17</v>
      </c>
      <c r="B759" t="s">
        <v>18</v>
      </c>
      <c r="C759" t="s">
        <v>1416</v>
      </c>
      <c r="D759" t="str">
        <f>CONCATENATE("0130007980","")</f>
        <v>0130007980</v>
      </c>
      <c r="E759" t="str">
        <f>CONCATENATE("0121101002480       ","")</f>
        <v>0121101002480       </v>
      </c>
      <c r="F759" t="str">
        <f>CONCATENATE("605121471","")</f>
        <v>605121471</v>
      </c>
      <c r="G759" t="s">
        <v>1597</v>
      </c>
      <c r="H759" t="s">
        <v>1598</v>
      </c>
      <c r="I759" t="s">
        <v>1599</v>
      </c>
      <c r="J759" t="str">
        <f t="shared" si="93"/>
        <v>081212</v>
      </c>
      <c r="K759" t="s">
        <v>23</v>
      </c>
      <c r="L759" t="s">
        <v>24</v>
      </c>
      <c r="M759" t="str">
        <f t="shared" si="94"/>
        <v>1</v>
      </c>
      <c r="O759" t="str">
        <f t="shared" si="92"/>
        <v>1 </v>
      </c>
      <c r="P759">
        <v>23.4</v>
      </c>
      <c r="Q759" t="s">
        <v>25</v>
      </c>
    </row>
    <row r="760" spans="1:17" ht="12.75">
      <c r="A760" t="s">
        <v>17</v>
      </c>
      <c r="B760" t="s">
        <v>18</v>
      </c>
      <c r="C760" t="s">
        <v>1416</v>
      </c>
      <c r="D760" t="str">
        <f>CONCATENATE("0130020333","")</f>
        <v>0130020333</v>
      </c>
      <c r="E760" t="str">
        <f>CONCATENATE("0121101002485       ","")</f>
        <v>0121101002485       </v>
      </c>
      <c r="F760" t="str">
        <f>CONCATENATE("605939713","")</f>
        <v>605939713</v>
      </c>
      <c r="G760" t="s">
        <v>1597</v>
      </c>
      <c r="H760" t="s">
        <v>1512</v>
      </c>
      <c r="I760" t="s">
        <v>1600</v>
      </c>
      <c r="J760" t="str">
        <f t="shared" si="93"/>
        <v>081212</v>
      </c>
      <c r="K760" t="s">
        <v>23</v>
      </c>
      <c r="L760" t="s">
        <v>24</v>
      </c>
      <c r="M760" t="str">
        <f t="shared" si="94"/>
        <v>1</v>
      </c>
      <c r="O760" t="str">
        <f t="shared" si="92"/>
        <v>1 </v>
      </c>
      <c r="P760">
        <v>41</v>
      </c>
      <c r="Q760" t="s">
        <v>25</v>
      </c>
    </row>
    <row r="761" spans="1:17" ht="12.75">
      <c r="A761" t="s">
        <v>17</v>
      </c>
      <c r="B761" t="s">
        <v>18</v>
      </c>
      <c r="C761" t="s">
        <v>1416</v>
      </c>
      <c r="D761" t="str">
        <f>CONCATENATE("0040026520","")</f>
        <v>0040026520</v>
      </c>
      <c r="E761" t="str">
        <f>CONCATENATE("0121101002487       ","")</f>
        <v>0121101002487       </v>
      </c>
      <c r="F761" t="str">
        <f>CONCATENATE("1869889","")</f>
        <v>1869889</v>
      </c>
      <c r="G761" t="s">
        <v>1597</v>
      </c>
      <c r="H761" t="s">
        <v>1601</v>
      </c>
      <c r="I761" t="s">
        <v>1602</v>
      </c>
      <c r="J761" t="str">
        <f t="shared" si="93"/>
        <v>081212</v>
      </c>
      <c r="K761" t="s">
        <v>23</v>
      </c>
      <c r="L761" t="s">
        <v>24</v>
      </c>
      <c r="M761" t="str">
        <f t="shared" si="94"/>
        <v>1</v>
      </c>
      <c r="O761" t="str">
        <f t="shared" si="92"/>
        <v>1 </v>
      </c>
      <c r="P761">
        <v>15.6</v>
      </c>
      <c r="Q761" t="s">
        <v>25</v>
      </c>
    </row>
    <row r="762" spans="1:17" ht="12.75">
      <c r="A762" t="s">
        <v>17</v>
      </c>
      <c r="B762" t="s">
        <v>18</v>
      </c>
      <c r="C762" t="s">
        <v>1416</v>
      </c>
      <c r="D762" t="str">
        <f>CONCATENATE("0130021472","")</f>
        <v>0130021472</v>
      </c>
      <c r="E762" t="str">
        <f>CONCATENATE("0121101002495       ","")</f>
        <v>0121101002495       </v>
      </c>
      <c r="F762" t="str">
        <f>CONCATENATE("1944772","")</f>
        <v>1944772</v>
      </c>
      <c r="G762" t="s">
        <v>1597</v>
      </c>
      <c r="H762" t="s">
        <v>1603</v>
      </c>
      <c r="I762" t="s">
        <v>1604</v>
      </c>
      <c r="J762" t="str">
        <f t="shared" si="93"/>
        <v>081212</v>
      </c>
      <c r="K762" t="s">
        <v>23</v>
      </c>
      <c r="L762" t="s">
        <v>24</v>
      </c>
      <c r="M762" t="str">
        <f t="shared" si="94"/>
        <v>1</v>
      </c>
      <c r="O762" t="str">
        <f t="shared" si="92"/>
        <v>1 </v>
      </c>
      <c r="P762">
        <v>62</v>
      </c>
      <c r="Q762" t="s">
        <v>25</v>
      </c>
    </row>
    <row r="763" spans="1:17" ht="12.75">
      <c r="A763" t="s">
        <v>17</v>
      </c>
      <c r="B763" t="s">
        <v>18</v>
      </c>
      <c r="C763" t="s">
        <v>1416</v>
      </c>
      <c r="D763" t="str">
        <f>CONCATENATE("0130020310","")</f>
        <v>0130020310</v>
      </c>
      <c r="E763" t="str">
        <f>CONCATENATE("0121101002590       ","")</f>
        <v>0121101002590       </v>
      </c>
      <c r="F763" t="str">
        <f>CONCATENATE("605938536","")</f>
        <v>605938536</v>
      </c>
      <c r="G763" t="s">
        <v>1597</v>
      </c>
      <c r="H763" t="s">
        <v>1605</v>
      </c>
      <c r="I763" t="s">
        <v>1606</v>
      </c>
      <c r="J763" t="str">
        <f t="shared" si="93"/>
        <v>081212</v>
      </c>
      <c r="K763" t="s">
        <v>23</v>
      </c>
      <c r="L763" t="s">
        <v>24</v>
      </c>
      <c r="M763" t="str">
        <f t="shared" si="94"/>
        <v>1</v>
      </c>
      <c r="O763" t="str">
        <f aca="true" t="shared" si="95" ref="O763:O781">CONCATENATE("1 ","")</f>
        <v>1 </v>
      </c>
      <c r="P763">
        <v>13.95</v>
      </c>
      <c r="Q763" t="s">
        <v>25</v>
      </c>
    </row>
    <row r="764" spans="1:17" ht="12.75">
      <c r="A764" t="s">
        <v>17</v>
      </c>
      <c r="B764" t="s">
        <v>18</v>
      </c>
      <c r="C764" t="s">
        <v>1416</v>
      </c>
      <c r="D764" t="str">
        <f>CONCATENATE("0130007990","")</f>
        <v>0130007990</v>
      </c>
      <c r="E764" t="str">
        <f>CONCATENATE("0121101002610       ","")</f>
        <v>0121101002610       </v>
      </c>
      <c r="F764" t="str">
        <f>CONCATENATE("605115102","")</f>
        <v>605115102</v>
      </c>
      <c r="G764" t="s">
        <v>1597</v>
      </c>
      <c r="H764" t="s">
        <v>1607</v>
      </c>
      <c r="I764" t="s">
        <v>1608</v>
      </c>
      <c r="J764" t="str">
        <f t="shared" si="93"/>
        <v>081212</v>
      </c>
      <c r="K764" t="s">
        <v>23</v>
      </c>
      <c r="L764" t="s">
        <v>24</v>
      </c>
      <c r="M764" t="str">
        <f t="shared" si="94"/>
        <v>1</v>
      </c>
      <c r="O764" t="str">
        <f t="shared" si="95"/>
        <v>1 </v>
      </c>
      <c r="P764">
        <v>23</v>
      </c>
      <c r="Q764" t="s">
        <v>25</v>
      </c>
    </row>
    <row r="765" spans="1:17" ht="12.75">
      <c r="A765" t="s">
        <v>17</v>
      </c>
      <c r="B765" t="s">
        <v>18</v>
      </c>
      <c r="C765" t="s">
        <v>1416</v>
      </c>
      <c r="D765" t="str">
        <f>CONCATENATE("0130008252","")</f>
        <v>0130008252</v>
      </c>
      <c r="E765" t="str">
        <f>CONCATENATE("0121101002695       ","")</f>
        <v>0121101002695       </v>
      </c>
      <c r="F765" t="str">
        <f>CONCATENATE("606600231","")</f>
        <v>606600231</v>
      </c>
      <c r="G765" t="s">
        <v>1597</v>
      </c>
      <c r="H765" t="s">
        <v>1609</v>
      </c>
      <c r="I765" t="s">
        <v>1610</v>
      </c>
      <c r="J765" t="str">
        <f t="shared" si="93"/>
        <v>081212</v>
      </c>
      <c r="K765" t="s">
        <v>23</v>
      </c>
      <c r="L765" t="s">
        <v>24</v>
      </c>
      <c r="M765" t="str">
        <f t="shared" si="94"/>
        <v>1</v>
      </c>
      <c r="O765" t="str">
        <f t="shared" si="95"/>
        <v>1 </v>
      </c>
      <c r="P765">
        <v>44.95</v>
      </c>
      <c r="Q765" t="s">
        <v>25</v>
      </c>
    </row>
    <row r="766" spans="1:17" ht="12.75">
      <c r="A766" t="s">
        <v>17</v>
      </c>
      <c r="B766" t="s">
        <v>18</v>
      </c>
      <c r="C766" t="s">
        <v>1416</v>
      </c>
      <c r="D766" t="str">
        <f>CONCATENATE("0130008000","")</f>
        <v>0130008000</v>
      </c>
      <c r="E766" t="str">
        <f>CONCATENATE("0121101002720       ","")</f>
        <v>0121101002720       </v>
      </c>
      <c r="F766" t="str">
        <f>CONCATENATE("605115108","")</f>
        <v>605115108</v>
      </c>
      <c r="G766" t="s">
        <v>1597</v>
      </c>
      <c r="H766" t="s">
        <v>1611</v>
      </c>
      <c r="I766" t="s">
        <v>1608</v>
      </c>
      <c r="J766" t="str">
        <f t="shared" si="93"/>
        <v>081212</v>
      </c>
      <c r="K766" t="s">
        <v>23</v>
      </c>
      <c r="L766" t="s">
        <v>24</v>
      </c>
      <c r="M766" t="str">
        <f t="shared" si="94"/>
        <v>1</v>
      </c>
      <c r="O766" t="str">
        <f t="shared" si="95"/>
        <v>1 </v>
      </c>
      <c r="P766">
        <v>14</v>
      </c>
      <c r="Q766" t="s">
        <v>25</v>
      </c>
    </row>
    <row r="767" spans="1:17" ht="12.75">
      <c r="A767" t="s">
        <v>17</v>
      </c>
      <c r="B767" t="s">
        <v>18</v>
      </c>
      <c r="C767" t="s">
        <v>1416</v>
      </c>
      <c r="D767" t="str">
        <f>CONCATENATE("0130008007","")</f>
        <v>0130008007</v>
      </c>
      <c r="E767" t="str">
        <f>CONCATENATE("0121101002780       ","")</f>
        <v>0121101002780       </v>
      </c>
      <c r="F767" t="str">
        <f>CONCATENATE("605274191","")</f>
        <v>605274191</v>
      </c>
      <c r="G767" t="s">
        <v>1597</v>
      </c>
      <c r="H767" t="s">
        <v>1612</v>
      </c>
      <c r="I767" t="s">
        <v>1613</v>
      </c>
      <c r="J767" t="str">
        <f t="shared" si="93"/>
        <v>081212</v>
      </c>
      <c r="K767" t="s">
        <v>23</v>
      </c>
      <c r="L767" t="s">
        <v>24</v>
      </c>
      <c r="M767" t="str">
        <f t="shared" si="94"/>
        <v>1</v>
      </c>
      <c r="O767" t="str">
        <f t="shared" si="95"/>
        <v>1 </v>
      </c>
      <c r="P767">
        <v>25.5</v>
      </c>
      <c r="Q767" t="s">
        <v>25</v>
      </c>
    </row>
    <row r="768" spans="1:17" ht="12.75">
      <c r="A768" t="s">
        <v>17</v>
      </c>
      <c r="B768" t="s">
        <v>18</v>
      </c>
      <c r="C768" t="s">
        <v>1416</v>
      </c>
      <c r="D768" t="str">
        <f>CONCATENATE("0130008012","")</f>
        <v>0130008012</v>
      </c>
      <c r="E768" t="str">
        <f>CONCATENATE("0121101002820       ","")</f>
        <v>0121101002820       </v>
      </c>
      <c r="F768" t="str">
        <f>CONCATENATE("605274214","")</f>
        <v>605274214</v>
      </c>
      <c r="G768" t="s">
        <v>1597</v>
      </c>
      <c r="H768" t="s">
        <v>1614</v>
      </c>
      <c r="I768" t="s">
        <v>1615</v>
      </c>
      <c r="J768" t="str">
        <f t="shared" si="93"/>
        <v>081212</v>
      </c>
      <c r="K768" t="s">
        <v>23</v>
      </c>
      <c r="L768" t="s">
        <v>24</v>
      </c>
      <c r="M768" t="str">
        <f t="shared" si="94"/>
        <v>1</v>
      </c>
      <c r="O768" t="str">
        <f t="shared" si="95"/>
        <v>1 </v>
      </c>
      <c r="P768">
        <v>50.55</v>
      </c>
      <c r="Q768" t="s">
        <v>25</v>
      </c>
    </row>
    <row r="769" spans="1:17" ht="12.75">
      <c r="A769" t="s">
        <v>17</v>
      </c>
      <c r="B769" t="s">
        <v>18</v>
      </c>
      <c r="C769" t="s">
        <v>1416</v>
      </c>
      <c r="D769" t="str">
        <f>CONCATENATE("0130009480","")</f>
        <v>0130009480</v>
      </c>
      <c r="E769" t="str">
        <f>CONCATENATE("0121101002852       ","")</f>
        <v>0121101002852       </v>
      </c>
      <c r="F769" t="str">
        <f>CONCATENATE("07554745","")</f>
        <v>07554745</v>
      </c>
      <c r="G769" t="s">
        <v>1597</v>
      </c>
      <c r="H769" t="s">
        <v>1616</v>
      </c>
      <c r="I769" t="s">
        <v>1617</v>
      </c>
      <c r="J769" t="str">
        <f t="shared" si="93"/>
        <v>081212</v>
      </c>
      <c r="K769" t="s">
        <v>23</v>
      </c>
      <c r="L769" t="s">
        <v>24</v>
      </c>
      <c r="M769" t="str">
        <f t="shared" si="94"/>
        <v>1</v>
      </c>
      <c r="O769" t="str">
        <f t="shared" si="95"/>
        <v>1 </v>
      </c>
      <c r="P769">
        <v>24.85</v>
      </c>
      <c r="Q769" t="s">
        <v>25</v>
      </c>
    </row>
    <row r="770" spans="1:17" ht="12.75">
      <c r="A770" t="s">
        <v>17</v>
      </c>
      <c r="B770" t="s">
        <v>18</v>
      </c>
      <c r="C770" t="s">
        <v>1416</v>
      </c>
      <c r="D770" t="str">
        <f>CONCATENATE("0130021236","")</f>
        <v>0130021236</v>
      </c>
      <c r="E770" t="str">
        <f>CONCATENATE("0121101002853       ","")</f>
        <v>0121101002853       </v>
      </c>
      <c r="F770" t="str">
        <f>CONCATENATE("1940383","")</f>
        <v>1940383</v>
      </c>
      <c r="G770" t="s">
        <v>1597</v>
      </c>
      <c r="H770" t="s">
        <v>1618</v>
      </c>
      <c r="I770" t="s">
        <v>1619</v>
      </c>
      <c r="J770" t="str">
        <f t="shared" si="93"/>
        <v>081212</v>
      </c>
      <c r="K770" t="s">
        <v>23</v>
      </c>
      <c r="L770" t="s">
        <v>24</v>
      </c>
      <c r="M770" t="str">
        <f t="shared" si="94"/>
        <v>1</v>
      </c>
      <c r="O770" t="str">
        <f t="shared" si="95"/>
        <v>1 </v>
      </c>
      <c r="P770">
        <v>308.15</v>
      </c>
      <c r="Q770" t="s">
        <v>25</v>
      </c>
    </row>
    <row r="771" spans="1:17" ht="12.75">
      <c r="A771" t="s">
        <v>17</v>
      </c>
      <c r="B771" t="s">
        <v>18</v>
      </c>
      <c r="C771" t="s">
        <v>1416</v>
      </c>
      <c r="D771" t="str">
        <f>CONCATENATE("0130008036","")</f>
        <v>0130008036</v>
      </c>
      <c r="E771" t="str">
        <f>CONCATENATE("0121101003035       ","")</f>
        <v>0121101003035       </v>
      </c>
      <c r="F771" t="str">
        <f>CONCATENATE("111059","")</f>
        <v>111059</v>
      </c>
      <c r="G771" t="s">
        <v>1597</v>
      </c>
      <c r="H771" t="s">
        <v>1620</v>
      </c>
      <c r="I771" t="s">
        <v>258</v>
      </c>
      <c r="J771" t="str">
        <f t="shared" si="93"/>
        <v>081212</v>
      </c>
      <c r="K771" t="s">
        <v>23</v>
      </c>
      <c r="L771" t="s">
        <v>24</v>
      </c>
      <c r="M771" t="str">
        <f>CONCATENATE("3","")</f>
        <v>3</v>
      </c>
      <c r="O771" t="str">
        <f t="shared" si="95"/>
        <v>1 </v>
      </c>
      <c r="P771">
        <v>388.7</v>
      </c>
      <c r="Q771" t="s">
        <v>124</v>
      </c>
    </row>
    <row r="772" spans="1:17" ht="12.75">
      <c r="A772" t="s">
        <v>17</v>
      </c>
      <c r="B772" t="s">
        <v>18</v>
      </c>
      <c r="C772" t="s">
        <v>1416</v>
      </c>
      <c r="D772" t="str">
        <f>CONCATENATE("0130008037","")</f>
        <v>0130008037</v>
      </c>
      <c r="E772" t="str">
        <f>CONCATENATE("0121101003040       ","")</f>
        <v>0121101003040       </v>
      </c>
      <c r="F772" t="str">
        <f>CONCATENATE("605274202","")</f>
        <v>605274202</v>
      </c>
      <c r="G772" t="s">
        <v>1597</v>
      </c>
      <c r="H772" t="s">
        <v>1621</v>
      </c>
      <c r="I772" t="s">
        <v>258</v>
      </c>
      <c r="J772" t="str">
        <f t="shared" si="93"/>
        <v>081212</v>
      </c>
      <c r="K772" t="s">
        <v>23</v>
      </c>
      <c r="L772" t="s">
        <v>24</v>
      </c>
      <c r="M772" t="str">
        <f aca="true" t="shared" si="96" ref="M772:M803">CONCATENATE("1","")</f>
        <v>1</v>
      </c>
      <c r="O772" t="str">
        <f t="shared" si="95"/>
        <v>1 </v>
      </c>
      <c r="P772">
        <v>29.05</v>
      </c>
      <c r="Q772" t="s">
        <v>25</v>
      </c>
    </row>
    <row r="773" spans="1:17" ht="12.75">
      <c r="A773" t="s">
        <v>17</v>
      </c>
      <c r="B773" t="s">
        <v>18</v>
      </c>
      <c r="C773" t="s">
        <v>1416</v>
      </c>
      <c r="D773" t="str">
        <f>CONCATENATE("0130008038","")</f>
        <v>0130008038</v>
      </c>
      <c r="E773" t="str">
        <f>CONCATENATE("0121101003050       ","")</f>
        <v>0121101003050       </v>
      </c>
      <c r="F773" t="str">
        <f>CONCATENATE("605115109","")</f>
        <v>605115109</v>
      </c>
      <c r="G773" t="s">
        <v>1597</v>
      </c>
      <c r="H773" t="s">
        <v>1622</v>
      </c>
      <c r="I773" t="s">
        <v>258</v>
      </c>
      <c r="J773" t="str">
        <f t="shared" si="93"/>
        <v>081212</v>
      </c>
      <c r="K773" t="s">
        <v>23</v>
      </c>
      <c r="L773" t="s">
        <v>24</v>
      </c>
      <c r="M773" t="str">
        <f t="shared" si="96"/>
        <v>1</v>
      </c>
      <c r="O773" t="str">
        <f t="shared" si="95"/>
        <v>1 </v>
      </c>
      <c r="P773">
        <v>26.6</v>
      </c>
      <c r="Q773" t="s">
        <v>25</v>
      </c>
    </row>
    <row r="774" spans="1:17" ht="12.75">
      <c r="A774" t="s">
        <v>17</v>
      </c>
      <c r="B774" t="s">
        <v>18</v>
      </c>
      <c r="C774" t="s">
        <v>1416</v>
      </c>
      <c r="D774" t="str">
        <f>CONCATENATE("0130011490","")</f>
        <v>0130011490</v>
      </c>
      <c r="E774" t="str">
        <f>CONCATENATE("0121101003120       ","")</f>
        <v>0121101003120       </v>
      </c>
      <c r="F774" t="str">
        <f>CONCATENATE("605933992","")</f>
        <v>605933992</v>
      </c>
      <c r="G774" t="s">
        <v>1597</v>
      </c>
      <c r="H774" t="s">
        <v>1623</v>
      </c>
      <c r="I774" t="s">
        <v>1624</v>
      </c>
      <c r="J774" t="str">
        <f t="shared" si="93"/>
        <v>081212</v>
      </c>
      <c r="K774" t="s">
        <v>23</v>
      </c>
      <c r="L774" t="s">
        <v>24</v>
      </c>
      <c r="M774" t="str">
        <f t="shared" si="96"/>
        <v>1</v>
      </c>
      <c r="O774" t="str">
        <f t="shared" si="95"/>
        <v>1 </v>
      </c>
      <c r="P774">
        <v>18.85</v>
      </c>
      <c r="Q774" t="s">
        <v>25</v>
      </c>
    </row>
    <row r="775" spans="1:17" ht="12.75">
      <c r="A775" t="s">
        <v>17</v>
      </c>
      <c r="B775" t="s">
        <v>18</v>
      </c>
      <c r="C775" t="s">
        <v>1416</v>
      </c>
      <c r="D775" t="str">
        <f>CONCATENATE("0130010086","")</f>
        <v>0130010086</v>
      </c>
      <c r="E775" t="str">
        <f>CONCATENATE("0121101003130       ","")</f>
        <v>0121101003130       </v>
      </c>
      <c r="F775" t="str">
        <f>CONCATENATE("605291035","")</f>
        <v>605291035</v>
      </c>
      <c r="G775" t="s">
        <v>1539</v>
      </c>
      <c r="H775" t="s">
        <v>1625</v>
      </c>
      <c r="I775" t="s">
        <v>1626</v>
      </c>
      <c r="J775" t="str">
        <f t="shared" si="93"/>
        <v>081212</v>
      </c>
      <c r="K775" t="s">
        <v>23</v>
      </c>
      <c r="L775" t="s">
        <v>24</v>
      </c>
      <c r="M775" t="str">
        <f t="shared" si="96"/>
        <v>1</v>
      </c>
      <c r="O775" t="str">
        <f t="shared" si="95"/>
        <v>1 </v>
      </c>
      <c r="P775">
        <v>11.65</v>
      </c>
      <c r="Q775" t="s">
        <v>25</v>
      </c>
    </row>
    <row r="776" spans="1:17" ht="12.75">
      <c r="A776" t="s">
        <v>17</v>
      </c>
      <c r="B776" t="s">
        <v>18</v>
      </c>
      <c r="C776" t="s">
        <v>1416</v>
      </c>
      <c r="D776" t="str">
        <f>CONCATENATE("0130010091","")</f>
        <v>0130010091</v>
      </c>
      <c r="E776" t="str">
        <f>CONCATENATE("0121101003200       ","")</f>
        <v>0121101003200       </v>
      </c>
      <c r="F776" t="str">
        <f>CONCATENATE("605291022","")</f>
        <v>605291022</v>
      </c>
      <c r="G776" t="s">
        <v>1539</v>
      </c>
      <c r="H776" t="s">
        <v>1627</v>
      </c>
      <c r="I776" t="str">
        <f>CONCATENATE("1RO-DE-MAYO--C-6","")</f>
        <v>1RO-DE-MAYO--C-6</v>
      </c>
      <c r="J776" t="str">
        <f t="shared" si="93"/>
        <v>081212</v>
      </c>
      <c r="K776" t="s">
        <v>23</v>
      </c>
      <c r="L776" t="s">
        <v>24</v>
      </c>
      <c r="M776" t="str">
        <f t="shared" si="96"/>
        <v>1</v>
      </c>
      <c r="O776" t="str">
        <f t="shared" si="95"/>
        <v>1 </v>
      </c>
      <c r="P776">
        <v>17.6</v>
      </c>
      <c r="Q776" t="s">
        <v>25</v>
      </c>
    </row>
    <row r="777" spans="1:17" ht="12.75">
      <c r="A777" t="s">
        <v>17</v>
      </c>
      <c r="B777" t="s">
        <v>18</v>
      </c>
      <c r="C777" t="s">
        <v>1416</v>
      </c>
      <c r="D777" t="str">
        <f>CONCATENATE("0130010102","")</f>
        <v>0130010102</v>
      </c>
      <c r="E777" t="str">
        <f>CONCATENATE("0121101003210       ","")</f>
        <v>0121101003210       </v>
      </c>
      <c r="F777" t="str">
        <f>CONCATENATE("605291028","")</f>
        <v>605291028</v>
      </c>
      <c r="G777" t="s">
        <v>1539</v>
      </c>
      <c r="H777" t="s">
        <v>1628</v>
      </c>
      <c r="I777" t="str">
        <f>CONCATENATE("1RO-DE-MAYO-C-07","")</f>
        <v>1RO-DE-MAYO-C-07</v>
      </c>
      <c r="J777" t="str">
        <f t="shared" si="93"/>
        <v>081212</v>
      </c>
      <c r="K777" t="s">
        <v>23</v>
      </c>
      <c r="L777" t="s">
        <v>24</v>
      </c>
      <c r="M777" t="str">
        <f t="shared" si="96"/>
        <v>1</v>
      </c>
      <c r="O777" t="str">
        <f t="shared" si="95"/>
        <v>1 </v>
      </c>
      <c r="P777">
        <v>19.3</v>
      </c>
      <c r="Q777" t="s">
        <v>25</v>
      </c>
    </row>
    <row r="778" spans="1:17" ht="12.75">
      <c r="A778" t="s">
        <v>17</v>
      </c>
      <c r="B778" t="s">
        <v>18</v>
      </c>
      <c r="C778" t="s">
        <v>1416</v>
      </c>
      <c r="D778" t="str">
        <f>CONCATENATE("0130016838","")</f>
        <v>0130016838</v>
      </c>
      <c r="E778" t="str">
        <f>CONCATENATE("0121101003316       ","")</f>
        <v>0121101003316       </v>
      </c>
      <c r="F778" t="str">
        <f>CONCATENATE("605623859","")</f>
        <v>605623859</v>
      </c>
      <c r="G778" t="s">
        <v>1539</v>
      </c>
      <c r="H778" t="s">
        <v>1427</v>
      </c>
      <c r="I778" t="s">
        <v>1629</v>
      </c>
      <c r="J778" t="str">
        <f t="shared" si="93"/>
        <v>081212</v>
      </c>
      <c r="K778" t="s">
        <v>23</v>
      </c>
      <c r="L778" t="s">
        <v>24</v>
      </c>
      <c r="M778" t="str">
        <f t="shared" si="96"/>
        <v>1</v>
      </c>
      <c r="O778" t="str">
        <f t="shared" si="95"/>
        <v>1 </v>
      </c>
      <c r="P778">
        <v>51.35</v>
      </c>
      <c r="Q778" t="s">
        <v>25</v>
      </c>
    </row>
    <row r="779" spans="1:17" ht="12.75">
      <c r="A779" t="s">
        <v>17</v>
      </c>
      <c r="B779" t="s">
        <v>18</v>
      </c>
      <c r="C779" t="s">
        <v>1416</v>
      </c>
      <c r="D779" t="str">
        <f>CONCATENATE("0130020673","")</f>
        <v>0130020673</v>
      </c>
      <c r="E779" t="str">
        <f>CONCATENATE("0121101004105       ","")</f>
        <v>0121101004105       </v>
      </c>
      <c r="F779" t="str">
        <f>CONCATENATE("1670741","")</f>
        <v>1670741</v>
      </c>
      <c r="G779" t="s">
        <v>1539</v>
      </c>
      <c r="H779" t="s">
        <v>1630</v>
      </c>
      <c r="I779" t="s">
        <v>1631</v>
      </c>
      <c r="J779" t="str">
        <f t="shared" si="93"/>
        <v>081212</v>
      </c>
      <c r="K779" t="s">
        <v>23</v>
      </c>
      <c r="L779" t="s">
        <v>24</v>
      </c>
      <c r="M779" t="str">
        <f t="shared" si="96"/>
        <v>1</v>
      </c>
      <c r="O779" t="str">
        <f t="shared" si="95"/>
        <v>1 </v>
      </c>
      <c r="P779">
        <v>64.55</v>
      </c>
      <c r="Q779" t="s">
        <v>25</v>
      </c>
    </row>
    <row r="780" spans="1:17" ht="12.75">
      <c r="A780" t="s">
        <v>17</v>
      </c>
      <c r="B780" t="s">
        <v>18</v>
      </c>
      <c r="C780" t="s">
        <v>1416</v>
      </c>
      <c r="D780" t="str">
        <f>CONCATENATE("0040030180","")</f>
        <v>0040030180</v>
      </c>
      <c r="E780" t="str">
        <f>CONCATENATE("0121101004184       ","")</f>
        <v>0121101004184       </v>
      </c>
      <c r="F780" t="str">
        <f>CONCATENATE("2190859","")</f>
        <v>2190859</v>
      </c>
      <c r="G780" t="s">
        <v>1539</v>
      </c>
      <c r="H780" t="s">
        <v>1632</v>
      </c>
      <c r="I780" t="s">
        <v>1633</v>
      </c>
      <c r="J780" t="str">
        <f aca="true" t="shared" si="97" ref="J780:J811">CONCATENATE("081212","")</f>
        <v>081212</v>
      </c>
      <c r="K780" t="s">
        <v>23</v>
      </c>
      <c r="L780" t="s">
        <v>24</v>
      </c>
      <c r="M780" t="str">
        <f t="shared" si="96"/>
        <v>1</v>
      </c>
      <c r="O780" t="str">
        <f t="shared" si="95"/>
        <v>1 </v>
      </c>
      <c r="P780">
        <v>16.4</v>
      </c>
      <c r="Q780" t="s">
        <v>25</v>
      </c>
    </row>
    <row r="781" spans="1:17" ht="12.75">
      <c r="A781" t="s">
        <v>17</v>
      </c>
      <c r="B781" t="s">
        <v>18</v>
      </c>
      <c r="C781" t="s">
        <v>1416</v>
      </c>
      <c r="D781" t="str">
        <f>CONCATENATE("0040030192","")</f>
        <v>0040030192</v>
      </c>
      <c r="E781" t="str">
        <f>CONCATENATE("0121101005015       ","")</f>
        <v>0121101005015       </v>
      </c>
      <c r="F781" t="str">
        <f>CONCATENATE("2186478","")</f>
        <v>2186478</v>
      </c>
      <c r="G781" t="s">
        <v>1539</v>
      </c>
      <c r="H781" t="s">
        <v>1634</v>
      </c>
      <c r="I781" t="s">
        <v>1635</v>
      </c>
      <c r="J781" t="str">
        <f t="shared" si="97"/>
        <v>081212</v>
      </c>
      <c r="K781" t="s">
        <v>23</v>
      </c>
      <c r="L781" t="s">
        <v>24</v>
      </c>
      <c r="M781" t="str">
        <f t="shared" si="96"/>
        <v>1</v>
      </c>
      <c r="O781" t="str">
        <f t="shared" si="95"/>
        <v>1 </v>
      </c>
      <c r="P781">
        <v>69.45</v>
      </c>
      <c r="Q781" t="s">
        <v>25</v>
      </c>
    </row>
    <row r="782" spans="1:17" ht="12.75">
      <c r="A782" t="s">
        <v>17</v>
      </c>
      <c r="B782" t="s">
        <v>18</v>
      </c>
      <c r="C782" t="s">
        <v>1416</v>
      </c>
      <c r="D782" t="str">
        <f>CONCATENATE("0040033473","")</f>
        <v>0040033473</v>
      </c>
      <c r="E782" t="str">
        <f>CONCATENATE("0121103001000       ","")</f>
        <v>0121103001000       </v>
      </c>
      <c r="F782" t="str">
        <f>CONCATENATE("606095083","")</f>
        <v>606095083</v>
      </c>
      <c r="G782" t="s">
        <v>1526</v>
      </c>
      <c r="H782" t="s">
        <v>1636</v>
      </c>
      <c r="I782" t="s">
        <v>1637</v>
      </c>
      <c r="J782" t="str">
        <f t="shared" si="97"/>
        <v>081212</v>
      </c>
      <c r="K782" t="s">
        <v>23</v>
      </c>
      <c r="L782" t="s">
        <v>24</v>
      </c>
      <c r="M782" t="str">
        <f t="shared" si="96"/>
        <v>1</v>
      </c>
      <c r="O782" t="str">
        <f>CONCATENATE("3 ","")</f>
        <v>3 </v>
      </c>
      <c r="P782">
        <v>23.1</v>
      </c>
      <c r="Q782" t="s">
        <v>25</v>
      </c>
    </row>
    <row r="783" spans="1:17" ht="12.75">
      <c r="A783" t="s">
        <v>17</v>
      </c>
      <c r="B783" t="s">
        <v>18</v>
      </c>
      <c r="C783" t="s">
        <v>1416</v>
      </c>
      <c r="D783" t="str">
        <f>CONCATENATE("0040033267","")</f>
        <v>0040033267</v>
      </c>
      <c r="E783" t="str">
        <f>CONCATENATE("0121104001030       ","")</f>
        <v>0121104001030       </v>
      </c>
      <c r="F783" t="str">
        <f>CONCATENATE("606143843","")</f>
        <v>606143843</v>
      </c>
      <c r="G783" t="s">
        <v>1539</v>
      </c>
      <c r="H783" t="s">
        <v>1638</v>
      </c>
      <c r="I783" t="s">
        <v>1639</v>
      </c>
      <c r="J783" t="str">
        <f t="shared" si="97"/>
        <v>081212</v>
      </c>
      <c r="K783" t="s">
        <v>23</v>
      </c>
      <c r="L783" t="s">
        <v>24</v>
      </c>
      <c r="M783" t="str">
        <f t="shared" si="96"/>
        <v>1</v>
      </c>
      <c r="O783" t="str">
        <f>CONCATENATE("1 ","")</f>
        <v>1 </v>
      </c>
      <c r="P783">
        <v>11.55</v>
      </c>
      <c r="Q783" t="s">
        <v>25</v>
      </c>
    </row>
    <row r="784" spans="1:17" ht="12.75">
      <c r="A784" t="s">
        <v>17</v>
      </c>
      <c r="B784" t="s">
        <v>18</v>
      </c>
      <c r="C784" t="s">
        <v>1416</v>
      </c>
      <c r="D784" t="str">
        <f>CONCATENATE("0040033348","")</f>
        <v>0040033348</v>
      </c>
      <c r="E784" t="str">
        <f>CONCATENATE("0121104002040       ","")</f>
        <v>0121104002040       </v>
      </c>
      <c r="F784" t="str">
        <f>CONCATENATE("606143838","")</f>
        <v>606143838</v>
      </c>
      <c r="G784" t="s">
        <v>1539</v>
      </c>
      <c r="H784" t="s">
        <v>1640</v>
      </c>
      <c r="I784" t="s">
        <v>1641</v>
      </c>
      <c r="J784" t="str">
        <f t="shared" si="97"/>
        <v>081212</v>
      </c>
      <c r="K784" t="s">
        <v>23</v>
      </c>
      <c r="L784" t="s">
        <v>24</v>
      </c>
      <c r="M784" t="str">
        <f t="shared" si="96"/>
        <v>1</v>
      </c>
      <c r="O784" t="str">
        <f>CONCATENATE("1 ","")</f>
        <v>1 </v>
      </c>
      <c r="P784">
        <v>11.55</v>
      </c>
      <c r="Q784" t="s">
        <v>25</v>
      </c>
    </row>
    <row r="785" spans="1:17" ht="12.75">
      <c r="A785" t="s">
        <v>17</v>
      </c>
      <c r="B785" t="s">
        <v>18</v>
      </c>
      <c r="C785" t="s">
        <v>1416</v>
      </c>
      <c r="D785" t="str">
        <f>CONCATENATE("0040033256","")</f>
        <v>0040033256</v>
      </c>
      <c r="E785" t="str">
        <f>CONCATENATE("0121104003040       ","")</f>
        <v>0121104003040       </v>
      </c>
      <c r="F785" t="str">
        <f>CONCATENATE("606095093","")</f>
        <v>606095093</v>
      </c>
      <c r="G785" t="s">
        <v>1539</v>
      </c>
      <c r="H785" t="s">
        <v>1642</v>
      </c>
      <c r="I785" t="s">
        <v>1643</v>
      </c>
      <c r="J785" t="str">
        <f t="shared" si="97"/>
        <v>081212</v>
      </c>
      <c r="K785" t="s">
        <v>23</v>
      </c>
      <c r="L785" t="s">
        <v>24</v>
      </c>
      <c r="M785" t="str">
        <f t="shared" si="96"/>
        <v>1</v>
      </c>
      <c r="O785" t="str">
        <f>CONCATENATE("2 ","")</f>
        <v>2 </v>
      </c>
      <c r="P785">
        <v>17.3</v>
      </c>
      <c r="Q785" t="s">
        <v>25</v>
      </c>
    </row>
    <row r="786" spans="1:17" ht="12.75">
      <c r="A786" t="s">
        <v>17</v>
      </c>
      <c r="B786" t="s">
        <v>18</v>
      </c>
      <c r="C786" t="s">
        <v>1416</v>
      </c>
      <c r="D786" t="str">
        <f>CONCATENATE("0040033209","")</f>
        <v>0040033209</v>
      </c>
      <c r="E786" t="str">
        <f>CONCATENATE("0121105001000       ","")</f>
        <v>0121105001000       </v>
      </c>
      <c r="F786" t="str">
        <f>CONCATENATE("606095100","")</f>
        <v>606095100</v>
      </c>
      <c r="G786" t="s">
        <v>1526</v>
      </c>
      <c r="H786" t="s">
        <v>1644</v>
      </c>
      <c r="I786" t="s">
        <v>1645</v>
      </c>
      <c r="J786" t="str">
        <f t="shared" si="97"/>
        <v>081212</v>
      </c>
      <c r="K786" t="s">
        <v>23</v>
      </c>
      <c r="L786" t="s">
        <v>24</v>
      </c>
      <c r="M786" t="str">
        <f t="shared" si="96"/>
        <v>1</v>
      </c>
      <c r="O786" t="str">
        <f>CONCATENATE("1 ","")</f>
        <v>1 </v>
      </c>
      <c r="P786">
        <v>11.5</v>
      </c>
      <c r="Q786" t="s">
        <v>25</v>
      </c>
    </row>
    <row r="787" spans="1:17" ht="12.75">
      <c r="A787" t="s">
        <v>17</v>
      </c>
      <c r="B787" t="s">
        <v>18</v>
      </c>
      <c r="C787" t="s">
        <v>1416</v>
      </c>
      <c r="D787" t="str">
        <f>CONCATENATE("0040033225","")</f>
        <v>0040033225</v>
      </c>
      <c r="E787" t="str">
        <f>CONCATENATE("0121106001040       ","")</f>
        <v>0121106001040       </v>
      </c>
      <c r="F787" t="str">
        <f>CONCATENATE("606143828","")</f>
        <v>606143828</v>
      </c>
      <c r="G787" t="s">
        <v>1526</v>
      </c>
      <c r="H787" t="s">
        <v>1646</v>
      </c>
      <c r="I787" t="s">
        <v>1647</v>
      </c>
      <c r="J787" t="str">
        <f t="shared" si="97"/>
        <v>081212</v>
      </c>
      <c r="K787" t="s">
        <v>23</v>
      </c>
      <c r="L787" t="s">
        <v>24</v>
      </c>
      <c r="M787" t="str">
        <f t="shared" si="96"/>
        <v>1</v>
      </c>
      <c r="O787" t="str">
        <f>CONCATENATE("1 ","")</f>
        <v>1 </v>
      </c>
      <c r="P787">
        <v>12.75</v>
      </c>
      <c r="Q787" t="s">
        <v>25</v>
      </c>
    </row>
    <row r="788" spans="1:17" ht="12.75">
      <c r="A788" t="s">
        <v>17</v>
      </c>
      <c r="B788" t="s">
        <v>18</v>
      </c>
      <c r="C788" t="s">
        <v>1416</v>
      </c>
      <c r="D788" t="str">
        <f>CONCATENATE("0040033230","")</f>
        <v>0040033230</v>
      </c>
      <c r="E788" t="str">
        <f>CONCATENATE("0121106001090       ","")</f>
        <v>0121106001090       </v>
      </c>
      <c r="F788" t="str">
        <f>CONCATENATE("606143842","")</f>
        <v>606143842</v>
      </c>
      <c r="G788" t="s">
        <v>1526</v>
      </c>
      <c r="H788" t="s">
        <v>1648</v>
      </c>
      <c r="I788" t="s">
        <v>1647</v>
      </c>
      <c r="J788" t="str">
        <f t="shared" si="97"/>
        <v>081212</v>
      </c>
      <c r="K788" t="s">
        <v>23</v>
      </c>
      <c r="L788" t="s">
        <v>24</v>
      </c>
      <c r="M788" t="str">
        <f t="shared" si="96"/>
        <v>1</v>
      </c>
      <c r="O788" t="str">
        <f>CONCATENATE("1 ","")</f>
        <v>1 </v>
      </c>
      <c r="P788">
        <v>16.85</v>
      </c>
      <c r="Q788" t="s">
        <v>25</v>
      </c>
    </row>
    <row r="789" spans="1:17" ht="12.75">
      <c r="A789" t="s">
        <v>17</v>
      </c>
      <c r="B789" t="s">
        <v>18</v>
      </c>
      <c r="C789" t="s">
        <v>1416</v>
      </c>
      <c r="D789" t="str">
        <f>CONCATENATE("0040040553","")</f>
        <v>0040040553</v>
      </c>
      <c r="E789" t="str">
        <f>CONCATENATE("0121109000010       ","")</f>
        <v>0121109000010       </v>
      </c>
      <c r="F789" t="str">
        <f>CONCATENATE("606143886","")</f>
        <v>606143886</v>
      </c>
      <c r="G789" t="s">
        <v>1526</v>
      </c>
      <c r="H789" t="s">
        <v>1649</v>
      </c>
      <c r="I789" t="s">
        <v>1650</v>
      </c>
      <c r="J789" t="str">
        <f t="shared" si="97"/>
        <v>081212</v>
      </c>
      <c r="K789" t="s">
        <v>23</v>
      </c>
      <c r="L789" t="s">
        <v>24</v>
      </c>
      <c r="M789" t="str">
        <f t="shared" si="96"/>
        <v>1</v>
      </c>
      <c r="O789" t="str">
        <f>CONCATENATE("2 ","")</f>
        <v>2 </v>
      </c>
      <c r="P789">
        <v>74.05</v>
      </c>
      <c r="Q789" t="s">
        <v>25</v>
      </c>
    </row>
    <row r="790" spans="1:17" ht="12.75">
      <c r="A790" t="s">
        <v>17</v>
      </c>
      <c r="B790" t="s">
        <v>18</v>
      </c>
      <c r="C790" t="s">
        <v>1416</v>
      </c>
      <c r="D790" t="str">
        <f>CONCATENATE("0040040550","")</f>
        <v>0040040550</v>
      </c>
      <c r="E790" t="str">
        <f>CONCATENATE("0121109000020       ","")</f>
        <v>0121109000020       </v>
      </c>
      <c r="F790" t="str">
        <f>CONCATENATE("606095279","")</f>
        <v>606095279</v>
      </c>
      <c r="G790" t="s">
        <v>1526</v>
      </c>
      <c r="H790" t="s">
        <v>1651</v>
      </c>
      <c r="I790" t="s">
        <v>1652</v>
      </c>
      <c r="J790" t="str">
        <f t="shared" si="97"/>
        <v>081212</v>
      </c>
      <c r="K790" t="s">
        <v>23</v>
      </c>
      <c r="L790" t="s">
        <v>24</v>
      </c>
      <c r="M790" t="str">
        <f t="shared" si="96"/>
        <v>1</v>
      </c>
      <c r="O790" t="str">
        <f>CONCATENATE("2 ","")</f>
        <v>2 </v>
      </c>
      <c r="P790">
        <v>23</v>
      </c>
      <c r="Q790" t="s">
        <v>25</v>
      </c>
    </row>
    <row r="791" spans="1:17" ht="12.75">
      <c r="A791" t="s">
        <v>17</v>
      </c>
      <c r="B791" t="s">
        <v>18</v>
      </c>
      <c r="C791" t="s">
        <v>1416</v>
      </c>
      <c r="D791" t="str">
        <f>CONCATENATE("0040040555","")</f>
        <v>0040040555</v>
      </c>
      <c r="E791" t="str">
        <f>CONCATENATE("0121109000030       ","")</f>
        <v>0121109000030       </v>
      </c>
      <c r="F791" t="str">
        <f>CONCATENATE("606143887","")</f>
        <v>606143887</v>
      </c>
      <c r="G791" t="s">
        <v>1526</v>
      </c>
      <c r="H791" t="s">
        <v>1653</v>
      </c>
      <c r="I791" t="s">
        <v>1650</v>
      </c>
      <c r="J791" t="str">
        <f t="shared" si="97"/>
        <v>081212</v>
      </c>
      <c r="K791" t="s">
        <v>23</v>
      </c>
      <c r="L791" t="s">
        <v>24</v>
      </c>
      <c r="M791" t="str">
        <f t="shared" si="96"/>
        <v>1</v>
      </c>
      <c r="O791" t="str">
        <f>CONCATENATE("1 ","")</f>
        <v>1 </v>
      </c>
      <c r="P791">
        <v>12.75</v>
      </c>
      <c r="Q791" t="s">
        <v>25</v>
      </c>
    </row>
    <row r="792" spans="1:17" ht="12.75">
      <c r="A792" t="s">
        <v>17</v>
      </c>
      <c r="B792" t="s">
        <v>18</v>
      </c>
      <c r="C792" t="s">
        <v>1416</v>
      </c>
      <c r="D792" t="str">
        <f>CONCATENATE("0040040554","")</f>
        <v>0040040554</v>
      </c>
      <c r="E792" t="str">
        <f>CONCATENATE("0121109000060       ","")</f>
        <v>0121109000060       </v>
      </c>
      <c r="F792" t="str">
        <f>CONCATENATE("0606143910","")</f>
        <v>0606143910</v>
      </c>
      <c r="G792" t="s">
        <v>1526</v>
      </c>
      <c r="H792" t="s">
        <v>1654</v>
      </c>
      <c r="I792" t="s">
        <v>1650</v>
      </c>
      <c r="J792" t="str">
        <f t="shared" si="97"/>
        <v>081212</v>
      </c>
      <c r="K792" t="s">
        <v>23</v>
      </c>
      <c r="L792" t="s">
        <v>24</v>
      </c>
      <c r="M792" t="str">
        <f t="shared" si="96"/>
        <v>1</v>
      </c>
      <c r="O792" t="str">
        <f>CONCATENATE("2 ","")</f>
        <v>2 </v>
      </c>
      <c r="P792">
        <v>34</v>
      </c>
      <c r="Q792" t="s">
        <v>25</v>
      </c>
    </row>
    <row r="793" spans="1:17" ht="12.75">
      <c r="A793" t="s">
        <v>17</v>
      </c>
      <c r="B793" t="s">
        <v>18</v>
      </c>
      <c r="C793" t="s">
        <v>1416</v>
      </c>
      <c r="D793" t="str">
        <f>CONCATENATE("0040040558","")</f>
        <v>0040040558</v>
      </c>
      <c r="E793" t="str">
        <f>CONCATENATE("0121109000130       ","")</f>
        <v>0121109000130       </v>
      </c>
      <c r="F793" t="str">
        <f>CONCATENATE("606095072","")</f>
        <v>606095072</v>
      </c>
      <c r="G793" t="s">
        <v>1526</v>
      </c>
      <c r="H793" t="s">
        <v>1655</v>
      </c>
      <c r="I793" t="s">
        <v>1650</v>
      </c>
      <c r="J793" t="str">
        <f t="shared" si="97"/>
        <v>081212</v>
      </c>
      <c r="K793" t="s">
        <v>23</v>
      </c>
      <c r="L793" t="s">
        <v>24</v>
      </c>
      <c r="M793" t="str">
        <f t="shared" si="96"/>
        <v>1</v>
      </c>
      <c r="O793" t="str">
        <f aca="true" t="shared" si="98" ref="O793:O802">CONCATENATE("1 ","")</f>
        <v>1 </v>
      </c>
      <c r="P793">
        <v>52.1</v>
      </c>
      <c r="Q793" t="s">
        <v>25</v>
      </c>
    </row>
    <row r="794" spans="1:17" ht="12.75">
      <c r="A794" t="s">
        <v>17</v>
      </c>
      <c r="B794" t="s">
        <v>18</v>
      </c>
      <c r="C794" t="s">
        <v>1416</v>
      </c>
      <c r="D794" t="str">
        <f>CONCATENATE("0040033438","")</f>
        <v>0040033438</v>
      </c>
      <c r="E794" t="str">
        <f>CONCATENATE("0121109001020       ","")</f>
        <v>0121109001020       </v>
      </c>
      <c r="F794" t="str">
        <f>CONCATENATE("606143905","")</f>
        <v>606143905</v>
      </c>
      <c r="G794" t="s">
        <v>1526</v>
      </c>
      <c r="H794" t="s">
        <v>1656</v>
      </c>
      <c r="I794" t="s">
        <v>1657</v>
      </c>
      <c r="J794" t="str">
        <f t="shared" si="97"/>
        <v>081212</v>
      </c>
      <c r="K794" t="s">
        <v>23</v>
      </c>
      <c r="L794" t="s">
        <v>24</v>
      </c>
      <c r="M794" t="str">
        <f t="shared" si="96"/>
        <v>1</v>
      </c>
      <c r="O794" t="str">
        <f t="shared" si="98"/>
        <v>1 </v>
      </c>
      <c r="P794">
        <v>13.9</v>
      </c>
      <c r="Q794" t="s">
        <v>25</v>
      </c>
    </row>
    <row r="795" spans="1:17" ht="12.75">
      <c r="A795" t="s">
        <v>17</v>
      </c>
      <c r="B795" t="s">
        <v>18</v>
      </c>
      <c r="C795" t="s">
        <v>1416</v>
      </c>
      <c r="D795" t="str">
        <f>CONCATENATE("0040033439","")</f>
        <v>0040033439</v>
      </c>
      <c r="E795" t="str">
        <f>CONCATENATE("0121109001030       ","")</f>
        <v>0121109001030       </v>
      </c>
      <c r="F795" t="str">
        <f>CONCATENATE("606143896","")</f>
        <v>606143896</v>
      </c>
      <c r="G795" t="s">
        <v>1526</v>
      </c>
      <c r="H795" t="s">
        <v>1658</v>
      </c>
      <c r="I795" t="s">
        <v>1657</v>
      </c>
      <c r="J795" t="str">
        <f t="shared" si="97"/>
        <v>081212</v>
      </c>
      <c r="K795" t="s">
        <v>23</v>
      </c>
      <c r="L795" t="s">
        <v>24</v>
      </c>
      <c r="M795" t="str">
        <f t="shared" si="96"/>
        <v>1</v>
      </c>
      <c r="O795" t="str">
        <f t="shared" si="98"/>
        <v>1 </v>
      </c>
      <c r="P795">
        <v>17.25</v>
      </c>
      <c r="Q795" t="s">
        <v>25</v>
      </c>
    </row>
    <row r="796" spans="1:17" ht="12.75">
      <c r="A796" t="s">
        <v>17</v>
      </c>
      <c r="B796" t="s">
        <v>18</v>
      </c>
      <c r="C796" t="s">
        <v>1416</v>
      </c>
      <c r="D796" t="str">
        <f>CONCATENATE("0040033449","")</f>
        <v>0040033449</v>
      </c>
      <c r="E796" t="str">
        <f>CONCATENATE("0121109001050       ","")</f>
        <v>0121109001050       </v>
      </c>
      <c r="F796" t="str">
        <f>CONCATENATE("606143904","")</f>
        <v>606143904</v>
      </c>
      <c r="G796" t="s">
        <v>1526</v>
      </c>
      <c r="H796" t="s">
        <v>1659</v>
      </c>
      <c r="I796" t="s">
        <v>1657</v>
      </c>
      <c r="J796" t="str">
        <f t="shared" si="97"/>
        <v>081212</v>
      </c>
      <c r="K796" t="s">
        <v>23</v>
      </c>
      <c r="L796" t="s">
        <v>24</v>
      </c>
      <c r="M796" t="str">
        <f t="shared" si="96"/>
        <v>1</v>
      </c>
      <c r="O796" t="str">
        <f t="shared" si="98"/>
        <v>1 </v>
      </c>
      <c r="P796">
        <v>12.8</v>
      </c>
      <c r="Q796" t="s">
        <v>25</v>
      </c>
    </row>
    <row r="797" spans="1:17" ht="12.75">
      <c r="A797" t="s">
        <v>17</v>
      </c>
      <c r="B797" t="s">
        <v>18</v>
      </c>
      <c r="C797" t="s">
        <v>1416</v>
      </c>
      <c r="D797" t="str">
        <f>CONCATENATE("0040033446","")</f>
        <v>0040033446</v>
      </c>
      <c r="E797" t="str">
        <f>CONCATENATE("0121109001090       ","")</f>
        <v>0121109001090       </v>
      </c>
      <c r="F797" t="str">
        <f>CONCATENATE("606143910","")</f>
        <v>606143910</v>
      </c>
      <c r="G797" t="s">
        <v>1526</v>
      </c>
      <c r="H797" t="s">
        <v>1660</v>
      </c>
      <c r="I797" t="s">
        <v>1661</v>
      </c>
      <c r="J797" t="str">
        <f t="shared" si="97"/>
        <v>081212</v>
      </c>
      <c r="K797" t="s">
        <v>23</v>
      </c>
      <c r="L797" t="s">
        <v>24</v>
      </c>
      <c r="M797" t="str">
        <f t="shared" si="96"/>
        <v>1</v>
      </c>
      <c r="O797" t="str">
        <f t="shared" si="98"/>
        <v>1 </v>
      </c>
      <c r="P797">
        <v>19.7</v>
      </c>
      <c r="Q797" t="s">
        <v>25</v>
      </c>
    </row>
    <row r="798" spans="1:17" ht="12.75">
      <c r="A798" t="s">
        <v>17</v>
      </c>
      <c r="B798" t="s">
        <v>18</v>
      </c>
      <c r="C798" t="s">
        <v>1416</v>
      </c>
      <c r="D798" t="str">
        <f>CONCATENATE("0040033456","")</f>
        <v>0040033456</v>
      </c>
      <c r="E798" t="str">
        <f>CONCATENATE("0121109001120       ","")</f>
        <v>0121109001120       </v>
      </c>
      <c r="F798" t="str">
        <f>CONCATENATE("606143894","")</f>
        <v>606143894</v>
      </c>
      <c r="G798" t="s">
        <v>1526</v>
      </c>
      <c r="H798" t="s">
        <v>1662</v>
      </c>
      <c r="I798" t="s">
        <v>1657</v>
      </c>
      <c r="J798" t="str">
        <f t="shared" si="97"/>
        <v>081212</v>
      </c>
      <c r="K798" t="s">
        <v>23</v>
      </c>
      <c r="L798" t="s">
        <v>24</v>
      </c>
      <c r="M798" t="str">
        <f t="shared" si="96"/>
        <v>1</v>
      </c>
      <c r="O798" t="str">
        <f t="shared" si="98"/>
        <v>1 </v>
      </c>
      <c r="P798">
        <v>11.55</v>
      </c>
      <c r="Q798" t="s">
        <v>25</v>
      </c>
    </row>
    <row r="799" spans="1:17" ht="12.75">
      <c r="A799" t="s">
        <v>17</v>
      </c>
      <c r="B799" t="s">
        <v>18</v>
      </c>
      <c r="C799" t="s">
        <v>1416</v>
      </c>
      <c r="D799" t="str">
        <f>CONCATENATE("0040033416","")</f>
        <v>0040033416</v>
      </c>
      <c r="E799" t="str">
        <f>CONCATENATE("0121109001130       ","")</f>
        <v>0121109001130       </v>
      </c>
      <c r="F799" t="str">
        <f>CONCATENATE("606143892","")</f>
        <v>606143892</v>
      </c>
      <c r="G799" t="s">
        <v>1526</v>
      </c>
      <c r="H799" t="s">
        <v>1663</v>
      </c>
      <c r="I799" t="s">
        <v>1657</v>
      </c>
      <c r="J799" t="str">
        <f t="shared" si="97"/>
        <v>081212</v>
      </c>
      <c r="K799" t="s">
        <v>23</v>
      </c>
      <c r="L799" t="s">
        <v>24</v>
      </c>
      <c r="M799" t="str">
        <f t="shared" si="96"/>
        <v>1</v>
      </c>
      <c r="O799" t="str">
        <f t="shared" si="98"/>
        <v>1 </v>
      </c>
      <c r="P799">
        <v>17.25</v>
      </c>
      <c r="Q799" t="s">
        <v>25</v>
      </c>
    </row>
    <row r="800" spans="1:17" ht="12.75">
      <c r="A800" t="s">
        <v>17</v>
      </c>
      <c r="B800" t="s">
        <v>18</v>
      </c>
      <c r="C800" t="s">
        <v>1416</v>
      </c>
      <c r="D800" t="str">
        <f>CONCATENATE("0040033444","")</f>
        <v>0040033444</v>
      </c>
      <c r="E800" t="str">
        <f>CONCATENATE("0121109001150       ","")</f>
        <v>0121109001150       </v>
      </c>
      <c r="F800" t="str">
        <f>CONCATENATE("606095251","")</f>
        <v>606095251</v>
      </c>
      <c r="G800" t="s">
        <v>1526</v>
      </c>
      <c r="H800" t="s">
        <v>1664</v>
      </c>
      <c r="I800" t="s">
        <v>1657</v>
      </c>
      <c r="J800" t="str">
        <f t="shared" si="97"/>
        <v>081212</v>
      </c>
      <c r="K800" t="s">
        <v>23</v>
      </c>
      <c r="L800" t="s">
        <v>24</v>
      </c>
      <c r="M800" t="str">
        <f t="shared" si="96"/>
        <v>1</v>
      </c>
      <c r="O800" t="str">
        <f t="shared" si="98"/>
        <v>1 </v>
      </c>
      <c r="P800">
        <v>15.6</v>
      </c>
      <c r="Q800" t="s">
        <v>25</v>
      </c>
    </row>
    <row r="801" spans="1:17" ht="12.75">
      <c r="A801" t="s">
        <v>17</v>
      </c>
      <c r="B801" t="s">
        <v>18</v>
      </c>
      <c r="C801" t="s">
        <v>1416</v>
      </c>
      <c r="D801" t="str">
        <f>CONCATENATE("0040033450","")</f>
        <v>0040033450</v>
      </c>
      <c r="E801" t="str">
        <f>CONCATENATE("0121109002000       ","")</f>
        <v>0121109002000       </v>
      </c>
      <c r="F801" t="str">
        <f>CONCATENATE("606143882","")</f>
        <v>606143882</v>
      </c>
      <c r="G801" t="s">
        <v>1526</v>
      </c>
      <c r="H801" t="s">
        <v>1665</v>
      </c>
      <c r="I801" t="s">
        <v>1657</v>
      </c>
      <c r="J801" t="str">
        <f t="shared" si="97"/>
        <v>081212</v>
      </c>
      <c r="K801" t="s">
        <v>23</v>
      </c>
      <c r="L801" t="s">
        <v>24</v>
      </c>
      <c r="M801" t="str">
        <f t="shared" si="96"/>
        <v>1</v>
      </c>
      <c r="O801" t="str">
        <f t="shared" si="98"/>
        <v>1 </v>
      </c>
      <c r="P801">
        <v>24.2</v>
      </c>
      <c r="Q801" t="s">
        <v>25</v>
      </c>
    </row>
    <row r="802" spans="1:17" ht="12.75">
      <c r="A802" t="s">
        <v>17</v>
      </c>
      <c r="B802" t="s">
        <v>18</v>
      </c>
      <c r="C802" t="s">
        <v>1416</v>
      </c>
      <c r="D802" t="str">
        <f>CONCATENATE("0040033452","")</f>
        <v>0040033452</v>
      </c>
      <c r="E802" t="str">
        <f>CONCATENATE("0121109002030       ","")</f>
        <v>0121109002030       </v>
      </c>
      <c r="F802" t="str">
        <f>CONCATENATE("606095269","")</f>
        <v>606095269</v>
      </c>
      <c r="G802" t="s">
        <v>1526</v>
      </c>
      <c r="H802" t="s">
        <v>1666</v>
      </c>
      <c r="I802" t="s">
        <v>1657</v>
      </c>
      <c r="J802" t="str">
        <f t="shared" si="97"/>
        <v>081212</v>
      </c>
      <c r="K802" t="s">
        <v>23</v>
      </c>
      <c r="L802" t="s">
        <v>24</v>
      </c>
      <c r="M802" t="str">
        <f t="shared" si="96"/>
        <v>1</v>
      </c>
      <c r="O802" t="str">
        <f t="shared" si="98"/>
        <v>1 </v>
      </c>
      <c r="P802">
        <v>16.45</v>
      </c>
      <c r="Q802" t="s">
        <v>25</v>
      </c>
    </row>
    <row r="803" spans="1:17" ht="12.75">
      <c r="A803" t="s">
        <v>17</v>
      </c>
      <c r="B803" t="s">
        <v>18</v>
      </c>
      <c r="C803" t="s">
        <v>1416</v>
      </c>
      <c r="D803" t="str">
        <f>CONCATENATE("0040033454","")</f>
        <v>0040033454</v>
      </c>
      <c r="E803" t="str">
        <f>CONCATENATE("0121109002060       ","")</f>
        <v>0121109002060       </v>
      </c>
      <c r="F803" t="str">
        <f>CONCATENATE("606143902","")</f>
        <v>606143902</v>
      </c>
      <c r="G803" t="s">
        <v>1526</v>
      </c>
      <c r="H803" t="s">
        <v>1667</v>
      </c>
      <c r="I803" t="s">
        <v>1661</v>
      </c>
      <c r="J803" t="str">
        <f t="shared" si="97"/>
        <v>081212</v>
      </c>
      <c r="K803" t="s">
        <v>23</v>
      </c>
      <c r="L803" t="s">
        <v>24</v>
      </c>
      <c r="M803" t="str">
        <f t="shared" si="96"/>
        <v>1</v>
      </c>
      <c r="O803" t="str">
        <f>CONCATENATE("2 ","")</f>
        <v>2 </v>
      </c>
      <c r="P803">
        <v>20</v>
      </c>
      <c r="Q803" t="s">
        <v>25</v>
      </c>
    </row>
    <row r="804" spans="1:17" ht="12.75">
      <c r="A804" t="s">
        <v>17</v>
      </c>
      <c r="B804" t="s">
        <v>18</v>
      </c>
      <c r="C804" t="s">
        <v>1416</v>
      </c>
      <c r="D804" t="str">
        <f>CONCATENATE("0040033018","")</f>
        <v>0040033018</v>
      </c>
      <c r="E804" t="str">
        <f>CONCATENATE("0121110001010       ","")</f>
        <v>0121110001010       </v>
      </c>
      <c r="F804" t="str">
        <f>CONCATENATE("606095370","")</f>
        <v>606095370</v>
      </c>
      <c r="G804" t="s">
        <v>1526</v>
      </c>
      <c r="H804" t="s">
        <v>1668</v>
      </c>
      <c r="I804" t="s">
        <v>1669</v>
      </c>
      <c r="J804" t="str">
        <f t="shared" si="97"/>
        <v>081212</v>
      </c>
      <c r="K804" t="s">
        <v>23</v>
      </c>
      <c r="L804" t="s">
        <v>24</v>
      </c>
      <c r="M804" t="str">
        <f aca="true" t="shared" si="99" ref="M804:M835">CONCATENATE("1","")</f>
        <v>1</v>
      </c>
      <c r="O804" t="str">
        <f>CONCATENATE("1 ","")</f>
        <v>1 </v>
      </c>
      <c r="P804">
        <v>13.15</v>
      </c>
      <c r="Q804" t="s">
        <v>25</v>
      </c>
    </row>
    <row r="805" spans="1:17" ht="12.75">
      <c r="A805" t="s">
        <v>17</v>
      </c>
      <c r="B805" t="s">
        <v>18</v>
      </c>
      <c r="C805" t="s">
        <v>1416</v>
      </c>
      <c r="D805" t="str">
        <f>CONCATENATE("0040033234","")</f>
        <v>0040033234</v>
      </c>
      <c r="E805" t="str">
        <f>CONCATENATE("0121110001030       ","")</f>
        <v>0121110001030       </v>
      </c>
      <c r="F805" t="str">
        <f>CONCATENATE("606095360","")</f>
        <v>606095360</v>
      </c>
      <c r="G805" t="s">
        <v>1526</v>
      </c>
      <c r="H805" t="s">
        <v>1670</v>
      </c>
      <c r="I805" t="s">
        <v>1669</v>
      </c>
      <c r="J805" t="str">
        <f t="shared" si="97"/>
        <v>081212</v>
      </c>
      <c r="K805" t="s">
        <v>23</v>
      </c>
      <c r="L805" t="s">
        <v>24</v>
      </c>
      <c r="M805" t="str">
        <f t="shared" si="99"/>
        <v>1</v>
      </c>
      <c r="O805" t="str">
        <f>CONCATENATE("1 ","")</f>
        <v>1 </v>
      </c>
      <c r="P805">
        <v>14.5</v>
      </c>
      <c r="Q805" t="s">
        <v>25</v>
      </c>
    </row>
    <row r="806" spans="1:17" ht="12.75">
      <c r="A806" t="s">
        <v>17</v>
      </c>
      <c r="B806" t="s">
        <v>18</v>
      </c>
      <c r="C806" t="s">
        <v>1416</v>
      </c>
      <c r="D806" t="str">
        <f>CONCATENATE("0040033276","")</f>
        <v>0040033276</v>
      </c>
      <c r="E806" t="str">
        <f>CONCATENATE("0121110001100       ","")</f>
        <v>0121110001100       </v>
      </c>
      <c r="F806" t="str">
        <f>CONCATENATE("606095275","")</f>
        <v>606095275</v>
      </c>
      <c r="G806" t="s">
        <v>1526</v>
      </c>
      <c r="H806" t="s">
        <v>1671</v>
      </c>
      <c r="I806" t="s">
        <v>1672</v>
      </c>
      <c r="J806" t="str">
        <f t="shared" si="97"/>
        <v>081212</v>
      </c>
      <c r="K806" t="s">
        <v>23</v>
      </c>
      <c r="L806" t="s">
        <v>24</v>
      </c>
      <c r="M806" t="str">
        <f t="shared" si="99"/>
        <v>1</v>
      </c>
      <c r="O806" t="str">
        <f>CONCATENATE("3 ","")</f>
        <v>3 </v>
      </c>
      <c r="P806">
        <v>22.2</v>
      </c>
      <c r="Q806" t="s">
        <v>25</v>
      </c>
    </row>
    <row r="807" spans="1:17" ht="12.75">
      <c r="A807" t="s">
        <v>17</v>
      </c>
      <c r="B807" t="s">
        <v>18</v>
      </c>
      <c r="C807" t="s">
        <v>1416</v>
      </c>
      <c r="D807" t="str">
        <f>CONCATENATE("0040033278","")</f>
        <v>0040033278</v>
      </c>
      <c r="E807" t="str">
        <f>CONCATENATE("0121110001130       ","")</f>
        <v>0121110001130       </v>
      </c>
      <c r="F807" t="str">
        <f>CONCATENATE("606095263","")</f>
        <v>606095263</v>
      </c>
      <c r="G807" t="s">
        <v>1526</v>
      </c>
      <c r="H807" t="s">
        <v>1673</v>
      </c>
      <c r="I807" t="s">
        <v>1672</v>
      </c>
      <c r="J807" t="str">
        <f t="shared" si="97"/>
        <v>081212</v>
      </c>
      <c r="K807" t="s">
        <v>23</v>
      </c>
      <c r="L807" t="s">
        <v>24</v>
      </c>
      <c r="M807" t="str">
        <f t="shared" si="99"/>
        <v>1</v>
      </c>
      <c r="O807" t="str">
        <f>CONCATENATE("1 ","")</f>
        <v>1 </v>
      </c>
      <c r="P807">
        <v>11.55</v>
      </c>
      <c r="Q807" t="s">
        <v>25</v>
      </c>
    </row>
    <row r="808" spans="1:17" ht="12.75">
      <c r="A808" t="s">
        <v>17</v>
      </c>
      <c r="B808" t="s">
        <v>18</v>
      </c>
      <c r="C808" t="s">
        <v>1416</v>
      </c>
      <c r="D808" t="str">
        <f>CONCATENATE("0040033273","")</f>
        <v>0040033273</v>
      </c>
      <c r="E808" t="str">
        <f>CONCATENATE("0121110001140       ","")</f>
        <v>0121110001140       </v>
      </c>
      <c r="F808" t="str">
        <f>CONCATENATE("606095357","")</f>
        <v>606095357</v>
      </c>
      <c r="G808" t="s">
        <v>1526</v>
      </c>
      <c r="H808" t="s">
        <v>1674</v>
      </c>
      <c r="I808" t="s">
        <v>1672</v>
      </c>
      <c r="J808" t="str">
        <f t="shared" si="97"/>
        <v>081212</v>
      </c>
      <c r="K808" t="s">
        <v>23</v>
      </c>
      <c r="L808" t="s">
        <v>24</v>
      </c>
      <c r="M808" t="str">
        <f t="shared" si="99"/>
        <v>1</v>
      </c>
      <c r="O808" t="str">
        <f>CONCATENATE("1 ","")</f>
        <v>1 </v>
      </c>
      <c r="P808">
        <v>13.2</v>
      </c>
      <c r="Q808" t="s">
        <v>25</v>
      </c>
    </row>
    <row r="809" spans="1:17" ht="12.75">
      <c r="A809" t="s">
        <v>17</v>
      </c>
      <c r="B809" t="s">
        <v>18</v>
      </c>
      <c r="C809" t="s">
        <v>1416</v>
      </c>
      <c r="D809" t="str">
        <f>CONCATENATE("0040033429","")</f>
        <v>0040033429</v>
      </c>
      <c r="E809" t="str">
        <f>CONCATENATE("0121110002010       ","")</f>
        <v>0121110002010       </v>
      </c>
      <c r="F809" t="str">
        <f>CONCATENATE("606095274","")</f>
        <v>606095274</v>
      </c>
      <c r="G809" t="s">
        <v>1526</v>
      </c>
      <c r="H809" t="s">
        <v>1675</v>
      </c>
      <c r="I809" t="s">
        <v>1672</v>
      </c>
      <c r="J809" t="str">
        <f t="shared" si="97"/>
        <v>081212</v>
      </c>
      <c r="K809" t="s">
        <v>23</v>
      </c>
      <c r="L809" t="s">
        <v>24</v>
      </c>
      <c r="M809" t="str">
        <f t="shared" si="99"/>
        <v>1</v>
      </c>
      <c r="O809" t="str">
        <f>CONCATENATE("2 ","")</f>
        <v>2 </v>
      </c>
      <c r="P809">
        <v>17.35</v>
      </c>
      <c r="Q809" t="s">
        <v>25</v>
      </c>
    </row>
    <row r="810" spans="1:17" ht="12.75">
      <c r="A810" t="s">
        <v>17</v>
      </c>
      <c r="B810" t="s">
        <v>18</v>
      </c>
      <c r="C810" t="s">
        <v>1416</v>
      </c>
      <c r="D810" t="str">
        <f>CONCATENATE("0040033423","")</f>
        <v>0040033423</v>
      </c>
      <c r="E810" t="str">
        <f>CONCATENATE("0121110002030       ","")</f>
        <v>0121110002030       </v>
      </c>
      <c r="F810" t="str">
        <f>CONCATENATE("606095258","")</f>
        <v>606095258</v>
      </c>
      <c r="G810" t="s">
        <v>1526</v>
      </c>
      <c r="H810" t="s">
        <v>1676</v>
      </c>
      <c r="I810" t="s">
        <v>1672</v>
      </c>
      <c r="J810" t="str">
        <f t="shared" si="97"/>
        <v>081212</v>
      </c>
      <c r="K810" t="s">
        <v>23</v>
      </c>
      <c r="L810" t="s">
        <v>24</v>
      </c>
      <c r="M810" t="str">
        <f t="shared" si="99"/>
        <v>1</v>
      </c>
      <c r="O810" t="str">
        <f>CONCATENATE("3 ","")</f>
        <v>3 </v>
      </c>
      <c r="P810">
        <v>22.85</v>
      </c>
      <c r="Q810" t="s">
        <v>25</v>
      </c>
    </row>
    <row r="811" spans="1:17" ht="12.75">
      <c r="A811" t="s">
        <v>17</v>
      </c>
      <c r="B811" t="s">
        <v>18</v>
      </c>
      <c r="C811" t="s">
        <v>1416</v>
      </c>
      <c r="D811" t="str">
        <f>CONCATENATE("0040033274","")</f>
        <v>0040033274</v>
      </c>
      <c r="E811" t="str">
        <f>CONCATENATE("0121110002045       ","")</f>
        <v>0121110002045       </v>
      </c>
      <c r="F811" t="str">
        <f>CONCATENATE("606095361","")</f>
        <v>606095361</v>
      </c>
      <c r="G811" t="s">
        <v>1526</v>
      </c>
      <c r="H811" t="s">
        <v>1677</v>
      </c>
      <c r="I811" t="s">
        <v>1672</v>
      </c>
      <c r="J811" t="str">
        <f t="shared" si="97"/>
        <v>081212</v>
      </c>
      <c r="K811" t="s">
        <v>23</v>
      </c>
      <c r="L811" t="s">
        <v>24</v>
      </c>
      <c r="M811" t="str">
        <f t="shared" si="99"/>
        <v>1</v>
      </c>
      <c r="O811" t="str">
        <f>CONCATENATE("4 ","")</f>
        <v>4 </v>
      </c>
      <c r="P811">
        <v>30.25</v>
      </c>
      <c r="Q811" t="s">
        <v>25</v>
      </c>
    </row>
    <row r="812" spans="1:17" ht="12.75">
      <c r="A812" t="s">
        <v>17</v>
      </c>
      <c r="B812" t="s">
        <v>18</v>
      </c>
      <c r="C812" t="s">
        <v>1416</v>
      </c>
      <c r="D812" t="str">
        <f>CONCATENATE("0040033418","")</f>
        <v>0040033418</v>
      </c>
      <c r="E812" t="str">
        <f>CONCATENATE("0121110002050       ","")</f>
        <v>0121110002050       </v>
      </c>
      <c r="F812" t="str">
        <f>CONCATENATE("606095278","")</f>
        <v>606095278</v>
      </c>
      <c r="G812" t="s">
        <v>1526</v>
      </c>
      <c r="H812" t="s">
        <v>1678</v>
      </c>
      <c r="I812" t="s">
        <v>1672</v>
      </c>
      <c r="J812" t="str">
        <f aca="true" t="shared" si="100" ref="J812:J843">CONCATENATE("081212","")</f>
        <v>081212</v>
      </c>
      <c r="K812" t="s">
        <v>23</v>
      </c>
      <c r="L812" t="s">
        <v>24</v>
      </c>
      <c r="M812" t="str">
        <f t="shared" si="99"/>
        <v>1</v>
      </c>
      <c r="O812" t="str">
        <f>CONCATENATE("4 ","")</f>
        <v>4 </v>
      </c>
      <c r="P812">
        <v>28.5</v>
      </c>
      <c r="Q812" t="s">
        <v>25</v>
      </c>
    </row>
    <row r="813" spans="1:17" ht="12.75">
      <c r="A813" t="s">
        <v>17</v>
      </c>
      <c r="B813" t="s">
        <v>18</v>
      </c>
      <c r="C813" t="s">
        <v>1416</v>
      </c>
      <c r="D813" t="str">
        <f>CONCATENATE("0130020437","")</f>
        <v>0130020437</v>
      </c>
      <c r="E813" t="str">
        <f>CONCATENATE("0121113001040       ","")</f>
        <v>0121113001040       </v>
      </c>
      <c r="F813" t="str">
        <f>CONCATENATE("1603118","")</f>
        <v>1603118</v>
      </c>
      <c r="G813" t="s">
        <v>1679</v>
      </c>
      <c r="H813" t="s">
        <v>1680</v>
      </c>
      <c r="I813" t="s">
        <v>1681</v>
      </c>
      <c r="J813" t="str">
        <f t="shared" si="100"/>
        <v>081212</v>
      </c>
      <c r="K813" t="s">
        <v>23</v>
      </c>
      <c r="L813" t="s">
        <v>24</v>
      </c>
      <c r="M813" t="str">
        <f t="shared" si="99"/>
        <v>1</v>
      </c>
      <c r="O813" t="str">
        <f aca="true" t="shared" si="101" ref="O813:O827">CONCATENATE("1 ","")</f>
        <v>1 </v>
      </c>
      <c r="P813">
        <v>11.8</v>
      </c>
      <c r="Q813" t="s">
        <v>25</v>
      </c>
    </row>
    <row r="814" spans="1:17" ht="12.75">
      <c r="A814" t="s">
        <v>17</v>
      </c>
      <c r="B814" t="s">
        <v>18</v>
      </c>
      <c r="C814" t="s">
        <v>1416</v>
      </c>
      <c r="D814" t="str">
        <f>CONCATENATE("0130021253","")</f>
        <v>0130021253</v>
      </c>
      <c r="E814" t="str">
        <f>CONCATENATE("0121113001225       ","")</f>
        <v>0121113001225       </v>
      </c>
      <c r="F814" t="str">
        <f>CONCATENATE("1938782","")</f>
        <v>1938782</v>
      </c>
      <c r="G814" t="s">
        <v>1679</v>
      </c>
      <c r="H814" t="s">
        <v>1682</v>
      </c>
      <c r="I814" t="s">
        <v>1683</v>
      </c>
      <c r="J814" t="str">
        <f t="shared" si="100"/>
        <v>081212</v>
      </c>
      <c r="K814" t="s">
        <v>23</v>
      </c>
      <c r="L814" t="s">
        <v>24</v>
      </c>
      <c r="M814" t="str">
        <f t="shared" si="99"/>
        <v>1</v>
      </c>
      <c r="O814" t="str">
        <f t="shared" si="101"/>
        <v>1 </v>
      </c>
      <c r="P814">
        <v>16.8</v>
      </c>
      <c r="Q814" t="s">
        <v>25</v>
      </c>
    </row>
    <row r="815" spans="1:17" ht="12.75">
      <c r="A815" t="s">
        <v>17</v>
      </c>
      <c r="B815" t="s">
        <v>18</v>
      </c>
      <c r="C815" t="s">
        <v>1416</v>
      </c>
      <c r="D815" t="str">
        <f>CONCATENATE("0130020449","")</f>
        <v>0130020449</v>
      </c>
      <c r="E815" t="str">
        <f>CONCATENATE("0121113001250       ","")</f>
        <v>0121113001250       </v>
      </c>
      <c r="F815" t="str">
        <f>CONCATENATE("1602298","")</f>
        <v>1602298</v>
      </c>
      <c r="G815" t="s">
        <v>1679</v>
      </c>
      <c r="H815" t="s">
        <v>1684</v>
      </c>
      <c r="I815" t="s">
        <v>1681</v>
      </c>
      <c r="J815" t="str">
        <f t="shared" si="100"/>
        <v>081212</v>
      </c>
      <c r="K815" t="s">
        <v>23</v>
      </c>
      <c r="L815" t="s">
        <v>24</v>
      </c>
      <c r="M815" t="str">
        <f t="shared" si="99"/>
        <v>1</v>
      </c>
      <c r="O815" t="str">
        <f t="shared" si="101"/>
        <v>1 </v>
      </c>
      <c r="P815">
        <v>10.95</v>
      </c>
      <c r="Q815" t="s">
        <v>25</v>
      </c>
    </row>
    <row r="816" spans="1:17" ht="12.75">
      <c r="A816" t="s">
        <v>17</v>
      </c>
      <c r="B816" t="s">
        <v>18</v>
      </c>
      <c r="C816" t="s">
        <v>1416</v>
      </c>
      <c r="D816" t="str">
        <f>CONCATENATE("0130020440","")</f>
        <v>0130020440</v>
      </c>
      <c r="E816" t="str">
        <f>CONCATENATE("0121113002360       ","")</f>
        <v>0121113002360       </v>
      </c>
      <c r="F816" t="str">
        <f>CONCATENATE("1602294","")</f>
        <v>1602294</v>
      </c>
      <c r="G816" t="s">
        <v>1679</v>
      </c>
      <c r="H816" t="s">
        <v>1685</v>
      </c>
      <c r="I816" t="s">
        <v>1681</v>
      </c>
      <c r="J816" t="str">
        <f t="shared" si="100"/>
        <v>081212</v>
      </c>
      <c r="K816" t="s">
        <v>23</v>
      </c>
      <c r="L816" t="s">
        <v>24</v>
      </c>
      <c r="M816" t="str">
        <f t="shared" si="99"/>
        <v>1</v>
      </c>
      <c r="O816" t="str">
        <f t="shared" si="101"/>
        <v>1 </v>
      </c>
      <c r="P816">
        <v>13.45</v>
      </c>
      <c r="Q816" t="s">
        <v>25</v>
      </c>
    </row>
    <row r="817" spans="1:17" ht="12.75">
      <c r="A817" t="s">
        <v>17</v>
      </c>
      <c r="B817" t="s">
        <v>18</v>
      </c>
      <c r="C817" t="s">
        <v>1416</v>
      </c>
      <c r="D817" t="str">
        <f>CONCATENATE("0130009987","")</f>
        <v>0130009987</v>
      </c>
      <c r="E817" t="str">
        <f>CONCATENATE("0121115000065       ","")</f>
        <v>0121115000065       </v>
      </c>
      <c r="F817" t="str">
        <f>CONCATENATE("2180827","")</f>
        <v>2180827</v>
      </c>
      <c r="G817" t="s">
        <v>1686</v>
      </c>
      <c r="H817" t="s">
        <v>1687</v>
      </c>
      <c r="I817" t="s">
        <v>1688</v>
      </c>
      <c r="J817" t="str">
        <f t="shared" si="100"/>
        <v>081212</v>
      </c>
      <c r="K817" t="s">
        <v>23</v>
      </c>
      <c r="L817" t="s">
        <v>24</v>
      </c>
      <c r="M817" t="str">
        <f t="shared" si="99"/>
        <v>1</v>
      </c>
      <c r="O817" t="str">
        <f t="shared" si="101"/>
        <v>1 </v>
      </c>
      <c r="P817">
        <v>46.95</v>
      </c>
      <c r="Q817" t="s">
        <v>25</v>
      </c>
    </row>
    <row r="818" spans="1:17" ht="12.75">
      <c r="A818" t="s">
        <v>17</v>
      </c>
      <c r="B818" t="s">
        <v>18</v>
      </c>
      <c r="C818" t="s">
        <v>1416</v>
      </c>
      <c r="D818" t="str">
        <f>CONCATENATE("0130006705","")</f>
        <v>0130006705</v>
      </c>
      <c r="E818" t="str">
        <f>CONCATENATE("0121115000080       ","")</f>
        <v>0121115000080       </v>
      </c>
      <c r="F818" t="str">
        <f>CONCATENATE("605119184","")</f>
        <v>605119184</v>
      </c>
      <c r="G818" t="s">
        <v>1686</v>
      </c>
      <c r="H818" t="s">
        <v>1689</v>
      </c>
      <c r="I818" t="s">
        <v>1690</v>
      </c>
      <c r="J818" t="str">
        <f t="shared" si="100"/>
        <v>081212</v>
      </c>
      <c r="K818" t="s">
        <v>23</v>
      </c>
      <c r="L818" t="s">
        <v>24</v>
      </c>
      <c r="M818" t="str">
        <f t="shared" si="99"/>
        <v>1</v>
      </c>
      <c r="O818" t="str">
        <f t="shared" si="101"/>
        <v>1 </v>
      </c>
      <c r="P818">
        <v>84.45</v>
      </c>
      <c r="Q818" t="s">
        <v>25</v>
      </c>
    </row>
    <row r="819" spans="1:17" ht="12.75">
      <c r="A819" t="s">
        <v>17</v>
      </c>
      <c r="B819" t="s">
        <v>18</v>
      </c>
      <c r="C819" t="s">
        <v>1416</v>
      </c>
      <c r="D819" t="str">
        <f>CONCATENATE("0130006706","")</f>
        <v>0130006706</v>
      </c>
      <c r="E819" t="str">
        <f>CONCATENATE("0121115000090       ","")</f>
        <v>0121115000090       </v>
      </c>
      <c r="F819" t="str">
        <f>CONCATENATE("605349235","")</f>
        <v>605349235</v>
      </c>
      <c r="G819" t="s">
        <v>1686</v>
      </c>
      <c r="H819" t="s">
        <v>1691</v>
      </c>
      <c r="I819" t="s">
        <v>1690</v>
      </c>
      <c r="J819" t="str">
        <f t="shared" si="100"/>
        <v>081212</v>
      </c>
      <c r="K819" t="s">
        <v>23</v>
      </c>
      <c r="L819" t="s">
        <v>24</v>
      </c>
      <c r="M819" t="str">
        <f t="shared" si="99"/>
        <v>1</v>
      </c>
      <c r="O819" t="str">
        <f t="shared" si="101"/>
        <v>1 </v>
      </c>
      <c r="P819">
        <v>12.05</v>
      </c>
      <c r="Q819" t="s">
        <v>25</v>
      </c>
    </row>
    <row r="820" spans="1:17" ht="12.75">
      <c r="A820" t="s">
        <v>17</v>
      </c>
      <c r="B820" t="s">
        <v>18</v>
      </c>
      <c r="C820" t="s">
        <v>1416</v>
      </c>
      <c r="D820" t="str">
        <f>CONCATENATE("0130006711","")</f>
        <v>0130006711</v>
      </c>
      <c r="E820" t="str">
        <f>CONCATENATE("0121115000150       ","")</f>
        <v>0121115000150       </v>
      </c>
      <c r="F820" t="str">
        <f>CONCATENATE("605119186","")</f>
        <v>605119186</v>
      </c>
      <c r="G820" t="s">
        <v>1686</v>
      </c>
      <c r="H820" t="s">
        <v>1692</v>
      </c>
      <c r="I820" t="s">
        <v>1690</v>
      </c>
      <c r="J820" t="str">
        <f t="shared" si="100"/>
        <v>081212</v>
      </c>
      <c r="K820" t="s">
        <v>23</v>
      </c>
      <c r="L820" t="s">
        <v>24</v>
      </c>
      <c r="M820" t="str">
        <f t="shared" si="99"/>
        <v>1</v>
      </c>
      <c r="O820" t="str">
        <f t="shared" si="101"/>
        <v>1 </v>
      </c>
      <c r="P820">
        <v>65.95</v>
      </c>
      <c r="Q820" t="s">
        <v>25</v>
      </c>
    </row>
    <row r="821" spans="1:17" ht="12.75">
      <c r="A821" t="s">
        <v>17</v>
      </c>
      <c r="B821" t="s">
        <v>18</v>
      </c>
      <c r="C821" t="s">
        <v>1416</v>
      </c>
      <c r="D821" t="str">
        <f>CONCATENATE("0130006730","")</f>
        <v>0130006730</v>
      </c>
      <c r="E821" t="str">
        <f>CONCATENATE("0121115000410       ","")</f>
        <v>0121115000410       </v>
      </c>
      <c r="F821" t="str">
        <f>CONCATENATE("7442684","")</f>
        <v>7442684</v>
      </c>
      <c r="G821" t="s">
        <v>1686</v>
      </c>
      <c r="H821" t="s">
        <v>1693</v>
      </c>
      <c r="I821" t="s">
        <v>1690</v>
      </c>
      <c r="J821" t="str">
        <f t="shared" si="100"/>
        <v>081212</v>
      </c>
      <c r="K821" t="s">
        <v>23</v>
      </c>
      <c r="L821" t="s">
        <v>24</v>
      </c>
      <c r="M821" t="str">
        <f t="shared" si="99"/>
        <v>1</v>
      </c>
      <c r="O821" t="str">
        <f t="shared" si="101"/>
        <v>1 </v>
      </c>
      <c r="P821">
        <v>12.05</v>
      </c>
      <c r="Q821" t="s">
        <v>25</v>
      </c>
    </row>
    <row r="822" spans="1:17" ht="12.75">
      <c r="A822" t="s">
        <v>17</v>
      </c>
      <c r="B822" t="s">
        <v>18</v>
      </c>
      <c r="C822" t="s">
        <v>1416</v>
      </c>
      <c r="D822" t="str">
        <f>CONCATENATE("0130006734","")</f>
        <v>0130006734</v>
      </c>
      <c r="E822" t="str">
        <f>CONCATENATE("0121115000460       ","")</f>
        <v>0121115000460       </v>
      </c>
      <c r="F822" t="str">
        <f>CONCATENATE("605555761","")</f>
        <v>605555761</v>
      </c>
      <c r="G822" t="s">
        <v>1694</v>
      </c>
      <c r="H822" t="s">
        <v>1695</v>
      </c>
      <c r="I822" t="s">
        <v>1690</v>
      </c>
      <c r="J822" t="str">
        <f t="shared" si="100"/>
        <v>081212</v>
      </c>
      <c r="K822" t="s">
        <v>23</v>
      </c>
      <c r="L822" t="s">
        <v>24</v>
      </c>
      <c r="M822" t="str">
        <f t="shared" si="99"/>
        <v>1</v>
      </c>
      <c r="O822" t="str">
        <f t="shared" si="101"/>
        <v>1 </v>
      </c>
      <c r="P822">
        <v>41.25</v>
      </c>
      <c r="Q822" t="s">
        <v>25</v>
      </c>
    </row>
    <row r="823" spans="1:17" ht="12.75">
      <c r="A823" t="s">
        <v>17</v>
      </c>
      <c r="B823" t="s">
        <v>18</v>
      </c>
      <c r="C823" t="s">
        <v>1416</v>
      </c>
      <c r="D823" t="str">
        <f>CONCATENATE("0130006739","")</f>
        <v>0130006739</v>
      </c>
      <c r="E823" t="str">
        <f>CONCATENATE("0121120000030       ","")</f>
        <v>0121120000030       </v>
      </c>
      <c r="F823" t="str">
        <f>CONCATENATE("605293594","")</f>
        <v>605293594</v>
      </c>
      <c r="G823" t="s">
        <v>1696</v>
      </c>
      <c r="H823" t="s">
        <v>1697</v>
      </c>
      <c r="I823" t="s">
        <v>1698</v>
      </c>
      <c r="J823" t="str">
        <f t="shared" si="100"/>
        <v>081212</v>
      </c>
      <c r="K823" t="s">
        <v>23</v>
      </c>
      <c r="L823" t="s">
        <v>24</v>
      </c>
      <c r="M823" t="str">
        <f t="shared" si="99"/>
        <v>1</v>
      </c>
      <c r="O823" t="str">
        <f t="shared" si="101"/>
        <v>1 </v>
      </c>
      <c r="P823">
        <v>20.95</v>
      </c>
      <c r="Q823" t="s">
        <v>25</v>
      </c>
    </row>
    <row r="824" spans="1:17" ht="12.75">
      <c r="A824" t="s">
        <v>17</v>
      </c>
      <c r="B824" t="s">
        <v>18</v>
      </c>
      <c r="C824" t="s">
        <v>1416</v>
      </c>
      <c r="D824" t="str">
        <f>CONCATENATE("0130012544","")</f>
        <v>0130012544</v>
      </c>
      <c r="E824" t="str">
        <f>CONCATENATE("0121120000150       ","")</f>
        <v>0121120000150       </v>
      </c>
      <c r="F824" t="str">
        <f>CONCATENATE("00500310499","")</f>
        <v>00500310499</v>
      </c>
      <c r="G824" t="s">
        <v>1696</v>
      </c>
      <c r="H824" t="s">
        <v>1699</v>
      </c>
      <c r="I824" t="s">
        <v>1700</v>
      </c>
      <c r="J824" t="str">
        <f t="shared" si="100"/>
        <v>081212</v>
      </c>
      <c r="K824" t="s">
        <v>23</v>
      </c>
      <c r="L824" t="s">
        <v>24</v>
      </c>
      <c r="M824" t="str">
        <f t="shared" si="99"/>
        <v>1</v>
      </c>
      <c r="O824" t="str">
        <f t="shared" si="101"/>
        <v>1 </v>
      </c>
      <c r="P824">
        <v>16.1</v>
      </c>
      <c r="Q824" t="s">
        <v>25</v>
      </c>
    </row>
    <row r="825" spans="1:17" ht="12.75">
      <c r="A825" t="s">
        <v>17</v>
      </c>
      <c r="B825" t="s">
        <v>18</v>
      </c>
      <c r="C825" t="s">
        <v>1416</v>
      </c>
      <c r="D825" t="str">
        <f>CONCATENATE("0130006750","")</f>
        <v>0130006750</v>
      </c>
      <c r="E825" t="str">
        <f>CONCATENATE("0121120000190       ","")</f>
        <v>0121120000190       </v>
      </c>
      <c r="F825" t="str">
        <f>CONCATENATE("605292827","")</f>
        <v>605292827</v>
      </c>
      <c r="G825" t="s">
        <v>1696</v>
      </c>
      <c r="H825" t="s">
        <v>1701</v>
      </c>
      <c r="I825" t="s">
        <v>1702</v>
      </c>
      <c r="J825" t="str">
        <f t="shared" si="100"/>
        <v>081212</v>
      </c>
      <c r="K825" t="s">
        <v>23</v>
      </c>
      <c r="L825" t="s">
        <v>24</v>
      </c>
      <c r="M825" t="str">
        <f t="shared" si="99"/>
        <v>1</v>
      </c>
      <c r="O825" t="str">
        <f t="shared" si="101"/>
        <v>1 </v>
      </c>
      <c r="P825">
        <v>14.35</v>
      </c>
      <c r="Q825" t="s">
        <v>25</v>
      </c>
    </row>
    <row r="826" spans="1:17" ht="12.75">
      <c r="A826" t="s">
        <v>17</v>
      </c>
      <c r="B826" t="s">
        <v>18</v>
      </c>
      <c r="C826" t="s">
        <v>1416</v>
      </c>
      <c r="D826" t="str">
        <f>CONCATENATE("0130006757","")</f>
        <v>0130006757</v>
      </c>
      <c r="E826" t="str">
        <f>CONCATENATE("0121120000310       ","")</f>
        <v>0121120000310       </v>
      </c>
      <c r="F826" t="str">
        <f>CONCATENATE("0606032495","")</f>
        <v>0606032495</v>
      </c>
      <c r="G826" t="s">
        <v>1696</v>
      </c>
      <c r="H826" t="s">
        <v>1703</v>
      </c>
      <c r="I826" t="s">
        <v>1698</v>
      </c>
      <c r="J826" t="str">
        <f t="shared" si="100"/>
        <v>081212</v>
      </c>
      <c r="K826" t="s">
        <v>23</v>
      </c>
      <c r="L826" t="s">
        <v>24</v>
      </c>
      <c r="M826" t="str">
        <f t="shared" si="99"/>
        <v>1</v>
      </c>
      <c r="O826" t="str">
        <f t="shared" si="101"/>
        <v>1 </v>
      </c>
      <c r="P826">
        <v>35.9</v>
      </c>
      <c r="Q826" t="s">
        <v>25</v>
      </c>
    </row>
    <row r="827" spans="1:17" ht="12.75">
      <c r="A827" t="s">
        <v>17</v>
      </c>
      <c r="B827" t="s">
        <v>18</v>
      </c>
      <c r="C827" t="s">
        <v>1416</v>
      </c>
      <c r="D827" t="str">
        <f>CONCATENATE("0130016314","")</f>
        <v>0130016314</v>
      </c>
      <c r="E827" t="str">
        <f>CONCATENATE("0121120000440       ","")</f>
        <v>0121120000440       </v>
      </c>
      <c r="F827" t="str">
        <f>CONCATENATE("605556041","")</f>
        <v>605556041</v>
      </c>
      <c r="G827" t="s">
        <v>1696</v>
      </c>
      <c r="H827" t="s">
        <v>1704</v>
      </c>
      <c r="I827" t="s">
        <v>1705</v>
      </c>
      <c r="J827" t="str">
        <f t="shared" si="100"/>
        <v>081212</v>
      </c>
      <c r="K827" t="s">
        <v>23</v>
      </c>
      <c r="L827" t="s">
        <v>24</v>
      </c>
      <c r="M827" t="str">
        <f t="shared" si="99"/>
        <v>1</v>
      </c>
      <c r="O827" t="str">
        <f t="shared" si="101"/>
        <v>1 </v>
      </c>
      <c r="P827">
        <v>21.35</v>
      </c>
      <c r="Q827" t="s">
        <v>25</v>
      </c>
    </row>
    <row r="828" spans="1:17" ht="12.75">
      <c r="A828" t="s">
        <v>17</v>
      </c>
      <c r="B828" t="s">
        <v>18</v>
      </c>
      <c r="C828" t="s">
        <v>1416</v>
      </c>
      <c r="D828" t="str">
        <f>CONCATENATE("0130006768","")</f>
        <v>0130006768</v>
      </c>
      <c r="E828" t="str">
        <f>CONCATENATE("0121120000530       ","")</f>
        <v>0121120000530       </v>
      </c>
      <c r="F828" t="str">
        <f>CONCATENATE("605292824","")</f>
        <v>605292824</v>
      </c>
      <c r="G828" t="s">
        <v>1696</v>
      </c>
      <c r="H828" t="s">
        <v>1706</v>
      </c>
      <c r="I828" t="s">
        <v>1707</v>
      </c>
      <c r="J828" t="str">
        <f t="shared" si="100"/>
        <v>081212</v>
      </c>
      <c r="K828" t="s">
        <v>23</v>
      </c>
      <c r="L828" t="s">
        <v>24</v>
      </c>
      <c r="M828" t="str">
        <f t="shared" si="99"/>
        <v>1</v>
      </c>
      <c r="O828" t="str">
        <f>CONCATENATE("2 ","")</f>
        <v>2 </v>
      </c>
      <c r="P828">
        <v>35.2</v>
      </c>
      <c r="Q828" t="s">
        <v>25</v>
      </c>
    </row>
    <row r="829" spans="1:17" ht="12.75">
      <c r="A829" t="s">
        <v>17</v>
      </c>
      <c r="B829" t="s">
        <v>18</v>
      </c>
      <c r="C829" t="s">
        <v>1416</v>
      </c>
      <c r="D829" t="str">
        <f>CONCATENATE("0130006769","")</f>
        <v>0130006769</v>
      </c>
      <c r="E829" t="str">
        <f>CONCATENATE("0121120000540       ","")</f>
        <v>0121120000540       </v>
      </c>
      <c r="F829" t="str">
        <f>CONCATENATE("605291151","")</f>
        <v>605291151</v>
      </c>
      <c r="G829" t="s">
        <v>1696</v>
      </c>
      <c r="H829" t="s">
        <v>1708</v>
      </c>
      <c r="I829" t="s">
        <v>1707</v>
      </c>
      <c r="J829" t="str">
        <f t="shared" si="100"/>
        <v>081212</v>
      </c>
      <c r="K829" t="s">
        <v>23</v>
      </c>
      <c r="L829" t="s">
        <v>24</v>
      </c>
      <c r="M829" t="str">
        <f t="shared" si="99"/>
        <v>1</v>
      </c>
      <c r="O829" t="str">
        <f aca="true" t="shared" si="102" ref="O829:O834">CONCATENATE("1 ","")</f>
        <v>1 </v>
      </c>
      <c r="P829">
        <v>14.8</v>
      </c>
      <c r="Q829" t="s">
        <v>25</v>
      </c>
    </row>
    <row r="830" spans="1:17" ht="12.75">
      <c r="A830" t="s">
        <v>17</v>
      </c>
      <c r="B830" t="s">
        <v>18</v>
      </c>
      <c r="C830" t="s">
        <v>1416</v>
      </c>
      <c r="D830" t="str">
        <f>CONCATENATE("0130006775","")</f>
        <v>0130006775</v>
      </c>
      <c r="E830" t="str">
        <f>CONCATENATE("0121120000640       ","")</f>
        <v>0121120000640       </v>
      </c>
      <c r="F830" t="str">
        <f>CONCATENATE("605293671","")</f>
        <v>605293671</v>
      </c>
      <c r="G830" t="s">
        <v>1696</v>
      </c>
      <c r="H830" t="s">
        <v>1709</v>
      </c>
      <c r="I830" t="s">
        <v>1698</v>
      </c>
      <c r="J830" t="str">
        <f t="shared" si="100"/>
        <v>081212</v>
      </c>
      <c r="K830" t="s">
        <v>23</v>
      </c>
      <c r="L830" t="s">
        <v>24</v>
      </c>
      <c r="M830" t="str">
        <f t="shared" si="99"/>
        <v>1</v>
      </c>
      <c r="O830" t="str">
        <f t="shared" si="102"/>
        <v>1 </v>
      </c>
      <c r="P830">
        <v>90.4</v>
      </c>
      <c r="Q830" t="s">
        <v>25</v>
      </c>
    </row>
    <row r="831" spans="1:17" ht="12.75">
      <c r="A831" t="s">
        <v>17</v>
      </c>
      <c r="B831" t="s">
        <v>18</v>
      </c>
      <c r="C831" t="s">
        <v>1416</v>
      </c>
      <c r="D831" t="str">
        <f>CONCATENATE("0130006792","")</f>
        <v>0130006792</v>
      </c>
      <c r="E831" t="str">
        <f>CONCATENATE("0121120001050       ","")</f>
        <v>0121120001050       </v>
      </c>
      <c r="F831" t="str">
        <f>CONCATENATE("605293574","")</f>
        <v>605293574</v>
      </c>
      <c r="G831" t="s">
        <v>1696</v>
      </c>
      <c r="H831" t="s">
        <v>1710</v>
      </c>
      <c r="I831" t="s">
        <v>1711</v>
      </c>
      <c r="J831" t="str">
        <f t="shared" si="100"/>
        <v>081212</v>
      </c>
      <c r="K831" t="s">
        <v>23</v>
      </c>
      <c r="L831" t="s">
        <v>24</v>
      </c>
      <c r="M831" t="str">
        <f t="shared" si="99"/>
        <v>1</v>
      </c>
      <c r="O831" t="str">
        <f t="shared" si="102"/>
        <v>1 </v>
      </c>
      <c r="P831">
        <v>11.5</v>
      </c>
      <c r="Q831" t="s">
        <v>25</v>
      </c>
    </row>
    <row r="832" spans="1:17" ht="12.75">
      <c r="A832" t="s">
        <v>17</v>
      </c>
      <c r="B832" t="s">
        <v>18</v>
      </c>
      <c r="C832" t="s">
        <v>1416</v>
      </c>
      <c r="D832" t="str">
        <f>CONCATENATE("0130006794","")</f>
        <v>0130006794</v>
      </c>
      <c r="E832" t="str">
        <f>CONCATENATE("0121120001080       ","")</f>
        <v>0121120001080       </v>
      </c>
      <c r="F832" t="str">
        <f>CONCATENATE("605742150","")</f>
        <v>605742150</v>
      </c>
      <c r="G832" t="s">
        <v>1696</v>
      </c>
      <c r="H832" t="s">
        <v>1712</v>
      </c>
      <c r="I832" t="s">
        <v>1713</v>
      </c>
      <c r="J832" t="str">
        <f t="shared" si="100"/>
        <v>081212</v>
      </c>
      <c r="K832" t="s">
        <v>23</v>
      </c>
      <c r="L832" t="s">
        <v>24</v>
      </c>
      <c r="M832" t="str">
        <f t="shared" si="99"/>
        <v>1</v>
      </c>
      <c r="O832" t="str">
        <f t="shared" si="102"/>
        <v>1 </v>
      </c>
      <c r="P832">
        <v>30</v>
      </c>
      <c r="Q832" t="s">
        <v>25</v>
      </c>
    </row>
    <row r="833" spans="1:17" ht="12.75">
      <c r="A833" t="s">
        <v>17</v>
      </c>
      <c r="B833" t="s">
        <v>18</v>
      </c>
      <c r="C833" t="s">
        <v>1416</v>
      </c>
      <c r="D833" t="str">
        <f>CONCATENATE("0130006800","")</f>
        <v>0130006800</v>
      </c>
      <c r="E833" t="str">
        <f>CONCATENATE("0121120001140       ","")</f>
        <v>0121120001140       </v>
      </c>
      <c r="F833" t="str">
        <f>CONCATENATE("605293589","")</f>
        <v>605293589</v>
      </c>
      <c r="G833" t="s">
        <v>1696</v>
      </c>
      <c r="H833" t="s">
        <v>1714</v>
      </c>
      <c r="I833" t="s">
        <v>1713</v>
      </c>
      <c r="J833" t="str">
        <f t="shared" si="100"/>
        <v>081212</v>
      </c>
      <c r="K833" t="s">
        <v>23</v>
      </c>
      <c r="L833" t="s">
        <v>24</v>
      </c>
      <c r="M833" t="str">
        <f t="shared" si="99"/>
        <v>1</v>
      </c>
      <c r="O833" t="str">
        <f t="shared" si="102"/>
        <v>1 </v>
      </c>
      <c r="P833">
        <v>18.5</v>
      </c>
      <c r="Q833" t="s">
        <v>25</v>
      </c>
    </row>
    <row r="834" spans="1:17" ht="12.75">
      <c r="A834" t="s">
        <v>17</v>
      </c>
      <c r="B834" t="s">
        <v>18</v>
      </c>
      <c r="C834" t="s">
        <v>1416</v>
      </c>
      <c r="D834" t="str">
        <f>CONCATENATE("0040031248","")</f>
        <v>0040031248</v>
      </c>
      <c r="E834" t="str">
        <f>CONCATENATE("0121120001243       ","")</f>
        <v>0121120001243       </v>
      </c>
      <c r="F834" t="str">
        <f>CONCATENATE("606603164","")</f>
        <v>606603164</v>
      </c>
      <c r="G834" t="s">
        <v>1696</v>
      </c>
      <c r="H834" t="s">
        <v>1715</v>
      </c>
      <c r="I834" t="s">
        <v>1716</v>
      </c>
      <c r="J834" t="str">
        <f t="shared" si="100"/>
        <v>081212</v>
      </c>
      <c r="K834" t="s">
        <v>23</v>
      </c>
      <c r="L834" t="s">
        <v>24</v>
      </c>
      <c r="M834" t="str">
        <f t="shared" si="99"/>
        <v>1</v>
      </c>
      <c r="O834" t="str">
        <f t="shared" si="102"/>
        <v>1 </v>
      </c>
      <c r="P834">
        <v>26.65</v>
      </c>
      <c r="Q834" t="s">
        <v>25</v>
      </c>
    </row>
    <row r="835" spans="1:17" ht="12.75">
      <c r="A835" t="s">
        <v>17</v>
      </c>
      <c r="B835" t="s">
        <v>18</v>
      </c>
      <c r="C835" t="s">
        <v>1416</v>
      </c>
      <c r="D835" t="str">
        <f>CONCATENATE("0130006816","")</f>
        <v>0130006816</v>
      </c>
      <c r="E835" t="str">
        <f>CONCATENATE("0121120001520       ","")</f>
        <v>0121120001520       </v>
      </c>
      <c r="F835" t="str">
        <f>CONCATENATE("605293673","")</f>
        <v>605293673</v>
      </c>
      <c r="G835" t="s">
        <v>1696</v>
      </c>
      <c r="H835" t="s">
        <v>1717</v>
      </c>
      <c r="I835" t="s">
        <v>1718</v>
      </c>
      <c r="J835" t="str">
        <f t="shared" si="100"/>
        <v>081212</v>
      </c>
      <c r="K835" t="s">
        <v>23</v>
      </c>
      <c r="L835" t="s">
        <v>24</v>
      </c>
      <c r="M835" t="str">
        <f t="shared" si="99"/>
        <v>1</v>
      </c>
      <c r="O835" t="str">
        <f>CONCATENATE("3 ","")</f>
        <v>3 </v>
      </c>
      <c r="P835">
        <v>41.9</v>
      </c>
      <c r="Q835" t="s">
        <v>25</v>
      </c>
    </row>
    <row r="836" spans="1:17" ht="12.75">
      <c r="A836" t="s">
        <v>17</v>
      </c>
      <c r="B836" t="s">
        <v>18</v>
      </c>
      <c r="C836" t="s">
        <v>1416</v>
      </c>
      <c r="D836" t="str">
        <f>CONCATENATE("0130009508","")</f>
        <v>0130009508</v>
      </c>
      <c r="E836" t="str">
        <f>CONCATENATE("0121120001525       ","")</f>
        <v>0121120001525       </v>
      </c>
      <c r="F836" t="str">
        <f>CONCATENATE("605755018","")</f>
        <v>605755018</v>
      </c>
      <c r="G836" t="s">
        <v>1696</v>
      </c>
      <c r="H836" t="s">
        <v>1719</v>
      </c>
      <c r="I836" t="s">
        <v>1720</v>
      </c>
      <c r="J836" t="str">
        <f t="shared" si="100"/>
        <v>081212</v>
      </c>
      <c r="K836" t="s">
        <v>23</v>
      </c>
      <c r="L836" t="s">
        <v>24</v>
      </c>
      <c r="M836" t="str">
        <f aca="true" t="shared" si="103" ref="M836:M862">CONCATENATE("1","")</f>
        <v>1</v>
      </c>
      <c r="O836" t="str">
        <f>CONCATENATE("1 ","")</f>
        <v>1 </v>
      </c>
      <c r="P836">
        <v>23.9</v>
      </c>
      <c r="Q836" t="s">
        <v>25</v>
      </c>
    </row>
    <row r="837" spans="1:17" ht="12.75">
      <c r="A837" t="s">
        <v>17</v>
      </c>
      <c r="B837" t="s">
        <v>18</v>
      </c>
      <c r="C837" t="s">
        <v>1416</v>
      </c>
      <c r="D837" t="str">
        <f>CONCATENATE("0040034003","")</f>
        <v>0040034003</v>
      </c>
      <c r="E837" t="str">
        <f>CONCATENATE("0121122001153       ","")</f>
        <v>0121122001153       </v>
      </c>
      <c r="F837" t="str">
        <f>CONCATENATE("606095544","")</f>
        <v>606095544</v>
      </c>
      <c r="G837" t="s">
        <v>1696</v>
      </c>
      <c r="H837" t="s">
        <v>1721</v>
      </c>
      <c r="I837" t="s">
        <v>1722</v>
      </c>
      <c r="J837" t="str">
        <f t="shared" si="100"/>
        <v>081212</v>
      </c>
      <c r="K837" t="s">
        <v>23</v>
      </c>
      <c r="L837" t="s">
        <v>24</v>
      </c>
      <c r="M837" t="str">
        <f t="shared" si="103"/>
        <v>1</v>
      </c>
      <c r="O837" t="str">
        <f>CONCATENATE("1 ","")</f>
        <v>1 </v>
      </c>
      <c r="P837">
        <v>13.55</v>
      </c>
      <c r="Q837" t="s">
        <v>25</v>
      </c>
    </row>
    <row r="838" spans="1:17" ht="12.75">
      <c r="A838" t="s">
        <v>17</v>
      </c>
      <c r="B838" t="s">
        <v>18</v>
      </c>
      <c r="C838" t="s">
        <v>1416</v>
      </c>
      <c r="D838" t="str">
        <f>CONCATENATE("0040032818","")</f>
        <v>0040032818</v>
      </c>
      <c r="E838" t="str">
        <f>CONCATENATE("0121122002040       ","")</f>
        <v>0121122002040       </v>
      </c>
      <c r="F838" t="str">
        <f>CONCATENATE("606095267","")</f>
        <v>606095267</v>
      </c>
      <c r="G838" t="s">
        <v>1696</v>
      </c>
      <c r="H838" t="s">
        <v>1723</v>
      </c>
      <c r="I838" t="s">
        <v>1724</v>
      </c>
      <c r="J838" t="str">
        <f t="shared" si="100"/>
        <v>081212</v>
      </c>
      <c r="K838" t="s">
        <v>23</v>
      </c>
      <c r="L838" t="s">
        <v>24</v>
      </c>
      <c r="M838" t="str">
        <f t="shared" si="103"/>
        <v>1</v>
      </c>
      <c r="O838" t="str">
        <f>CONCATENATE("2 ","")</f>
        <v>2 </v>
      </c>
      <c r="P838">
        <v>20.45</v>
      </c>
      <c r="Q838" t="s">
        <v>25</v>
      </c>
    </row>
    <row r="839" spans="1:17" ht="12.75">
      <c r="A839" t="s">
        <v>17</v>
      </c>
      <c r="B839" t="s">
        <v>18</v>
      </c>
      <c r="C839" t="s">
        <v>1416</v>
      </c>
      <c r="D839" t="str">
        <f>CONCATENATE("0130006850","")</f>
        <v>0130006850</v>
      </c>
      <c r="E839" t="str">
        <f>CONCATENATE("0121126000110       ","")</f>
        <v>0121126000110       </v>
      </c>
      <c r="F839" t="str">
        <f>CONCATENATE("605274658","")</f>
        <v>605274658</v>
      </c>
      <c r="G839" t="s">
        <v>1725</v>
      </c>
      <c r="H839" t="s">
        <v>1726</v>
      </c>
      <c r="I839" t="s">
        <v>1727</v>
      </c>
      <c r="J839" t="str">
        <f t="shared" si="100"/>
        <v>081212</v>
      </c>
      <c r="K839" t="s">
        <v>23</v>
      </c>
      <c r="L839" t="s">
        <v>24</v>
      </c>
      <c r="M839" t="str">
        <f t="shared" si="103"/>
        <v>1</v>
      </c>
      <c r="O839" t="str">
        <f aca="true" t="shared" si="104" ref="O839:O850">CONCATENATE("1 ","")</f>
        <v>1 </v>
      </c>
      <c r="P839">
        <v>11.5</v>
      </c>
      <c r="Q839" t="s">
        <v>25</v>
      </c>
    </row>
    <row r="840" spans="1:17" ht="12.75">
      <c r="A840" t="s">
        <v>17</v>
      </c>
      <c r="B840" t="s">
        <v>18</v>
      </c>
      <c r="C840" t="s">
        <v>1416</v>
      </c>
      <c r="D840" t="str">
        <f>CONCATENATE("0130006854","")</f>
        <v>0130006854</v>
      </c>
      <c r="E840" t="str">
        <f>CONCATENATE("0121126000160       ","")</f>
        <v>0121126000160       </v>
      </c>
      <c r="F840" t="str">
        <f>CONCATENATE("605293783","")</f>
        <v>605293783</v>
      </c>
      <c r="G840" t="s">
        <v>1725</v>
      </c>
      <c r="H840" t="s">
        <v>1728</v>
      </c>
      <c r="I840" t="s">
        <v>1729</v>
      </c>
      <c r="J840" t="str">
        <f t="shared" si="100"/>
        <v>081212</v>
      </c>
      <c r="K840" t="s">
        <v>23</v>
      </c>
      <c r="L840" t="s">
        <v>24</v>
      </c>
      <c r="M840" t="str">
        <f t="shared" si="103"/>
        <v>1</v>
      </c>
      <c r="O840" t="str">
        <f t="shared" si="104"/>
        <v>1 </v>
      </c>
      <c r="P840">
        <v>16.85</v>
      </c>
      <c r="Q840" t="s">
        <v>25</v>
      </c>
    </row>
    <row r="841" spans="1:17" ht="12.75">
      <c r="A841" t="s">
        <v>17</v>
      </c>
      <c r="B841" t="s">
        <v>18</v>
      </c>
      <c r="C841" t="s">
        <v>1416</v>
      </c>
      <c r="D841" t="str">
        <f>CONCATENATE("0040030354","")</f>
        <v>0040030354</v>
      </c>
      <c r="E841" t="str">
        <f>CONCATENATE("0121126000517       ","")</f>
        <v>0121126000517       </v>
      </c>
      <c r="F841" t="str">
        <f>CONCATENATE("2182701","")</f>
        <v>2182701</v>
      </c>
      <c r="G841" t="s">
        <v>1725</v>
      </c>
      <c r="H841" t="s">
        <v>1730</v>
      </c>
      <c r="I841" t="s">
        <v>1731</v>
      </c>
      <c r="J841" t="str">
        <f t="shared" si="100"/>
        <v>081212</v>
      </c>
      <c r="K841" t="s">
        <v>23</v>
      </c>
      <c r="L841" t="s">
        <v>24</v>
      </c>
      <c r="M841" t="str">
        <f t="shared" si="103"/>
        <v>1</v>
      </c>
      <c r="O841" t="str">
        <f t="shared" si="104"/>
        <v>1 </v>
      </c>
      <c r="P841">
        <v>11.8</v>
      </c>
      <c r="Q841" t="s">
        <v>25</v>
      </c>
    </row>
    <row r="842" spans="1:17" ht="12.75">
      <c r="A842" t="s">
        <v>17</v>
      </c>
      <c r="B842" t="s">
        <v>18</v>
      </c>
      <c r="C842" t="s">
        <v>1416</v>
      </c>
      <c r="D842" t="str">
        <f>CONCATENATE("0040026684","")</f>
        <v>0040026684</v>
      </c>
      <c r="E842" t="str">
        <f>CONCATENATE("0121130000355       ","")</f>
        <v>0121130000355       </v>
      </c>
      <c r="F842" t="str">
        <f>CONCATENATE("1863734","")</f>
        <v>1863734</v>
      </c>
      <c r="G842" t="s">
        <v>1732</v>
      </c>
      <c r="H842" t="s">
        <v>1733</v>
      </c>
      <c r="I842" t="s">
        <v>1734</v>
      </c>
      <c r="J842" t="str">
        <f t="shared" si="100"/>
        <v>081212</v>
      </c>
      <c r="K842" t="s">
        <v>23</v>
      </c>
      <c r="L842" t="s">
        <v>24</v>
      </c>
      <c r="M842" t="str">
        <f t="shared" si="103"/>
        <v>1</v>
      </c>
      <c r="O842" t="str">
        <f t="shared" si="104"/>
        <v>1 </v>
      </c>
      <c r="P842">
        <v>21.35</v>
      </c>
      <c r="Q842" t="s">
        <v>25</v>
      </c>
    </row>
    <row r="843" spans="1:17" ht="12.75">
      <c r="A843" t="s">
        <v>17</v>
      </c>
      <c r="B843" t="s">
        <v>18</v>
      </c>
      <c r="C843" t="s">
        <v>1416</v>
      </c>
      <c r="D843" t="str">
        <f>CONCATENATE("0130006903","")</f>
        <v>0130006903</v>
      </c>
      <c r="E843" t="str">
        <f>CONCATENATE("0121130000370       ","")</f>
        <v>0121130000370       </v>
      </c>
      <c r="F843" t="str">
        <f>CONCATENATE("605293582","")</f>
        <v>605293582</v>
      </c>
      <c r="G843" t="s">
        <v>1732</v>
      </c>
      <c r="H843" t="s">
        <v>1735</v>
      </c>
      <c r="I843" t="s">
        <v>1736</v>
      </c>
      <c r="J843" t="str">
        <f t="shared" si="100"/>
        <v>081212</v>
      </c>
      <c r="K843" t="s">
        <v>23</v>
      </c>
      <c r="L843" t="s">
        <v>24</v>
      </c>
      <c r="M843" t="str">
        <f t="shared" si="103"/>
        <v>1</v>
      </c>
      <c r="O843" t="str">
        <f t="shared" si="104"/>
        <v>1 </v>
      </c>
      <c r="P843">
        <v>11.9</v>
      </c>
      <c r="Q843" t="s">
        <v>25</v>
      </c>
    </row>
    <row r="844" spans="1:17" ht="12.75">
      <c r="A844" t="s">
        <v>17</v>
      </c>
      <c r="B844" t="s">
        <v>18</v>
      </c>
      <c r="C844" t="s">
        <v>1416</v>
      </c>
      <c r="D844" t="str">
        <f>CONCATENATE("0040039223","")</f>
        <v>0040039223</v>
      </c>
      <c r="E844" t="str">
        <f>CONCATENATE("0121130000599       ","")</f>
        <v>0121130000599       </v>
      </c>
      <c r="F844" t="str">
        <f>CONCATENATE("606748081","")</f>
        <v>606748081</v>
      </c>
      <c r="G844" t="s">
        <v>1696</v>
      </c>
      <c r="H844" t="s">
        <v>752</v>
      </c>
      <c r="I844" t="s">
        <v>1737</v>
      </c>
      <c r="J844" t="str">
        <f aca="true" t="shared" si="105" ref="J844:J875">CONCATENATE("081212","")</f>
        <v>081212</v>
      </c>
      <c r="K844" t="s">
        <v>23</v>
      </c>
      <c r="L844" t="s">
        <v>24</v>
      </c>
      <c r="M844" t="str">
        <f t="shared" si="103"/>
        <v>1</v>
      </c>
      <c r="O844" t="str">
        <f t="shared" si="104"/>
        <v>1 </v>
      </c>
      <c r="P844">
        <v>134.3</v>
      </c>
      <c r="Q844" t="s">
        <v>25</v>
      </c>
    </row>
    <row r="845" spans="1:17" ht="12.75">
      <c r="A845" t="s">
        <v>17</v>
      </c>
      <c r="B845" t="s">
        <v>18</v>
      </c>
      <c r="C845" t="s">
        <v>1416</v>
      </c>
      <c r="D845" t="str">
        <f>CONCATENATE("0130006918","")</f>
        <v>0130006918</v>
      </c>
      <c r="E845" t="str">
        <f>CONCATENATE("0121130000660       ","")</f>
        <v>0121130000660       </v>
      </c>
      <c r="F845" t="str">
        <f>CONCATENATE("605293781","")</f>
        <v>605293781</v>
      </c>
      <c r="G845" t="s">
        <v>1732</v>
      </c>
      <c r="H845" t="s">
        <v>1738</v>
      </c>
      <c r="I845" t="s">
        <v>1736</v>
      </c>
      <c r="J845" t="str">
        <f t="shared" si="105"/>
        <v>081212</v>
      </c>
      <c r="K845" t="s">
        <v>23</v>
      </c>
      <c r="L845" t="s">
        <v>24</v>
      </c>
      <c r="M845" t="str">
        <f t="shared" si="103"/>
        <v>1</v>
      </c>
      <c r="O845" t="str">
        <f t="shared" si="104"/>
        <v>1 </v>
      </c>
      <c r="P845">
        <v>11.5</v>
      </c>
      <c r="Q845" t="s">
        <v>25</v>
      </c>
    </row>
    <row r="846" spans="1:17" ht="12.75">
      <c r="A846" t="s">
        <v>17</v>
      </c>
      <c r="B846" t="s">
        <v>18</v>
      </c>
      <c r="C846" t="s">
        <v>1416</v>
      </c>
      <c r="D846" t="str">
        <f>CONCATENATE("0130011130","")</f>
        <v>0130011130</v>
      </c>
      <c r="E846" t="str">
        <f>CONCATENATE("0121135000315       ","")</f>
        <v>0121135000315       </v>
      </c>
      <c r="F846" t="str">
        <f>CONCATENATE("605755017","")</f>
        <v>605755017</v>
      </c>
      <c r="G846" t="s">
        <v>1739</v>
      </c>
      <c r="H846" t="s">
        <v>1740</v>
      </c>
      <c r="I846" t="s">
        <v>1741</v>
      </c>
      <c r="J846" t="str">
        <f t="shared" si="105"/>
        <v>081212</v>
      </c>
      <c r="K846" t="s">
        <v>23</v>
      </c>
      <c r="L846" t="s">
        <v>24</v>
      </c>
      <c r="M846" t="str">
        <f t="shared" si="103"/>
        <v>1</v>
      </c>
      <c r="O846" t="str">
        <f t="shared" si="104"/>
        <v>1 </v>
      </c>
      <c r="P846">
        <v>34.05</v>
      </c>
      <c r="Q846" t="s">
        <v>25</v>
      </c>
    </row>
    <row r="847" spans="1:17" ht="12.75">
      <c r="A847" t="s">
        <v>17</v>
      </c>
      <c r="B847" t="s">
        <v>18</v>
      </c>
      <c r="C847" t="s">
        <v>1416</v>
      </c>
      <c r="D847" t="str">
        <f>CONCATENATE("0130011137","")</f>
        <v>0130011137</v>
      </c>
      <c r="E847" t="str">
        <f>CONCATENATE("0121135000325       ","")</f>
        <v>0121135000325       </v>
      </c>
      <c r="F847" t="str">
        <f>CONCATENATE("605754862","")</f>
        <v>605754862</v>
      </c>
      <c r="G847" t="s">
        <v>1739</v>
      </c>
      <c r="H847" t="s">
        <v>1742</v>
      </c>
      <c r="I847" t="s">
        <v>1743</v>
      </c>
      <c r="J847" t="str">
        <f t="shared" si="105"/>
        <v>081212</v>
      </c>
      <c r="K847" t="s">
        <v>23</v>
      </c>
      <c r="L847" t="s">
        <v>24</v>
      </c>
      <c r="M847" t="str">
        <f t="shared" si="103"/>
        <v>1</v>
      </c>
      <c r="O847" t="str">
        <f t="shared" si="104"/>
        <v>1 </v>
      </c>
      <c r="P847">
        <v>38</v>
      </c>
      <c r="Q847" t="s">
        <v>25</v>
      </c>
    </row>
    <row r="848" spans="1:17" ht="12.75">
      <c r="A848" t="s">
        <v>17</v>
      </c>
      <c r="B848" t="s">
        <v>18</v>
      </c>
      <c r="C848" t="s">
        <v>1416</v>
      </c>
      <c r="D848" t="str">
        <f>CONCATENATE("0040033312","")</f>
        <v>0040033312</v>
      </c>
      <c r="E848" t="str">
        <f>CONCATENATE("0121135000665       ","")</f>
        <v>0121135000665       </v>
      </c>
      <c r="F848" t="str">
        <f>CONCATENATE("606667435","")</f>
        <v>606667435</v>
      </c>
      <c r="G848" t="s">
        <v>1739</v>
      </c>
      <c r="H848" t="s">
        <v>1744</v>
      </c>
      <c r="I848" t="s">
        <v>1745</v>
      </c>
      <c r="J848" t="str">
        <f t="shared" si="105"/>
        <v>081212</v>
      </c>
      <c r="K848" t="s">
        <v>23</v>
      </c>
      <c r="L848" t="s">
        <v>24</v>
      </c>
      <c r="M848" t="str">
        <f t="shared" si="103"/>
        <v>1</v>
      </c>
      <c r="O848" t="str">
        <f t="shared" si="104"/>
        <v>1 </v>
      </c>
      <c r="P848">
        <v>17.65</v>
      </c>
      <c r="Q848" t="s">
        <v>25</v>
      </c>
    </row>
    <row r="849" spans="1:17" ht="12.75">
      <c r="A849" t="s">
        <v>17</v>
      </c>
      <c r="B849" t="s">
        <v>18</v>
      </c>
      <c r="C849" t="s">
        <v>1416</v>
      </c>
      <c r="D849" t="str">
        <f>CONCATENATE("0130006989","")</f>
        <v>0130006989</v>
      </c>
      <c r="E849" t="str">
        <f>CONCATENATE("0121135000670       ","")</f>
        <v>0121135000670       </v>
      </c>
      <c r="F849" t="str">
        <f>CONCATENATE("605740874","")</f>
        <v>605740874</v>
      </c>
      <c r="G849" t="s">
        <v>1739</v>
      </c>
      <c r="H849" t="s">
        <v>1746</v>
      </c>
      <c r="I849" t="s">
        <v>1747</v>
      </c>
      <c r="J849" t="str">
        <f t="shared" si="105"/>
        <v>081212</v>
      </c>
      <c r="K849" t="s">
        <v>23</v>
      </c>
      <c r="L849" t="s">
        <v>24</v>
      </c>
      <c r="M849" t="str">
        <f t="shared" si="103"/>
        <v>1</v>
      </c>
      <c r="O849" t="str">
        <f t="shared" si="104"/>
        <v>1 </v>
      </c>
      <c r="P849">
        <v>168.1</v>
      </c>
      <c r="Q849" t="s">
        <v>25</v>
      </c>
    </row>
    <row r="850" spans="1:17" ht="12.75">
      <c r="A850" t="s">
        <v>17</v>
      </c>
      <c r="B850" t="s">
        <v>18</v>
      </c>
      <c r="C850" t="s">
        <v>1416</v>
      </c>
      <c r="D850" t="str">
        <f>CONCATENATE("0130016685","")</f>
        <v>0130016685</v>
      </c>
      <c r="E850" t="str">
        <f>CONCATENATE("0121136001130       ","")</f>
        <v>0121136001130       </v>
      </c>
      <c r="F850" t="str">
        <f>CONCATENATE("605626112","")</f>
        <v>605626112</v>
      </c>
      <c r="G850" t="s">
        <v>1748</v>
      </c>
      <c r="H850" t="s">
        <v>1749</v>
      </c>
      <c r="I850" t="s">
        <v>1750</v>
      </c>
      <c r="J850" t="str">
        <f t="shared" si="105"/>
        <v>081212</v>
      </c>
      <c r="K850" t="s">
        <v>23</v>
      </c>
      <c r="L850" t="s">
        <v>24</v>
      </c>
      <c r="M850" t="str">
        <f t="shared" si="103"/>
        <v>1</v>
      </c>
      <c r="O850" t="str">
        <f t="shared" si="104"/>
        <v>1 </v>
      </c>
      <c r="P850">
        <v>33.1</v>
      </c>
      <c r="Q850" t="s">
        <v>25</v>
      </c>
    </row>
    <row r="851" spans="1:17" ht="12.75">
      <c r="A851" t="s">
        <v>17</v>
      </c>
      <c r="B851" t="s">
        <v>18</v>
      </c>
      <c r="C851" t="s">
        <v>1416</v>
      </c>
      <c r="D851" t="str">
        <f>CONCATENATE("0130016594","")</f>
        <v>0130016594</v>
      </c>
      <c r="E851" t="str">
        <f>CONCATENATE("0121139001100       ","")</f>
        <v>0121139001100       </v>
      </c>
      <c r="F851" t="str">
        <f>CONCATENATE("605627333","")</f>
        <v>605627333</v>
      </c>
      <c r="G851" t="s">
        <v>1751</v>
      </c>
      <c r="H851" t="s">
        <v>1752</v>
      </c>
      <c r="I851" t="s">
        <v>265</v>
      </c>
      <c r="J851" t="str">
        <f t="shared" si="105"/>
        <v>081212</v>
      </c>
      <c r="K851" t="s">
        <v>23</v>
      </c>
      <c r="L851" t="s">
        <v>24</v>
      </c>
      <c r="M851" t="str">
        <f t="shared" si="103"/>
        <v>1</v>
      </c>
      <c r="O851" t="str">
        <f>CONCATENATE("2 ","")</f>
        <v>2 </v>
      </c>
      <c r="P851">
        <v>52.55</v>
      </c>
      <c r="Q851" t="s">
        <v>25</v>
      </c>
    </row>
    <row r="852" spans="1:17" ht="12.75">
      <c r="A852" t="s">
        <v>17</v>
      </c>
      <c r="B852" t="s">
        <v>18</v>
      </c>
      <c r="C852" t="s">
        <v>1416</v>
      </c>
      <c r="D852" t="str">
        <f>CONCATENATE("0130016606","")</f>
        <v>0130016606</v>
      </c>
      <c r="E852" t="str">
        <f>CONCATENATE("0121139002090       ","")</f>
        <v>0121139002090       </v>
      </c>
      <c r="F852" t="str">
        <f>CONCATENATE("605627345","")</f>
        <v>605627345</v>
      </c>
      <c r="G852" t="s">
        <v>1751</v>
      </c>
      <c r="H852" t="s">
        <v>1753</v>
      </c>
      <c r="I852" t="s">
        <v>265</v>
      </c>
      <c r="J852" t="str">
        <f t="shared" si="105"/>
        <v>081212</v>
      </c>
      <c r="K852" t="s">
        <v>23</v>
      </c>
      <c r="L852" t="s">
        <v>24</v>
      </c>
      <c r="M852" t="str">
        <f t="shared" si="103"/>
        <v>1</v>
      </c>
      <c r="O852" t="str">
        <f aca="true" t="shared" si="106" ref="O852:O860">CONCATENATE("1 ","")</f>
        <v>1 </v>
      </c>
      <c r="P852">
        <v>16.3</v>
      </c>
      <c r="Q852" t="s">
        <v>25</v>
      </c>
    </row>
    <row r="853" spans="1:17" ht="12.75">
      <c r="A853" t="s">
        <v>17</v>
      </c>
      <c r="B853" t="s">
        <v>18</v>
      </c>
      <c r="C853" t="s">
        <v>1416</v>
      </c>
      <c r="D853" t="str">
        <f>CONCATENATE("0040027058","")</f>
        <v>0040027058</v>
      </c>
      <c r="E853" t="str">
        <f>CONCATENATE("0121140000045       ","")</f>
        <v>0121140000045       </v>
      </c>
      <c r="F853" t="str">
        <f>CONCATENATE("2122510","")</f>
        <v>2122510</v>
      </c>
      <c r="G853" t="s">
        <v>1754</v>
      </c>
      <c r="H853" t="s">
        <v>1755</v>
      </c>
      <c r="I853" t="s">
        <v>1756</v>
      </c>
      <c r="J853" t="str">
        <f t="shared" si="105"/>
        <v>081212</v>
      </c>
      <c r="K853" t="s">
        <v>23</v>
      </c>
      <c r="L853" t="s">
        <v>24</v>
      </c>
      <c r="M853" t="str">
        <f t="shared" si="103"/>
        <v>1</v>
      </c>
      <c r="O853" t="str">
        <f t="shared" si="106"/>
        <v>1 </v>
      </c>
      <c r="P853">
        <v>24.15</v>
      </c>
      <c r="Q853" t="s">
        <v>25</v>
      </c>
    </row>
    <row r="854" spans="1:17" ht="12.75">
      <c r="A854" t="s">
        <v>17</v>
      </c>
      <c r="B854" t="s">
        <v>18</v>
      </c>
      <c r="C854" t="s">
        <v>1416</v>
      </c>
      <c r="D854" t="str">
        <f>CONCATENATE("0130011496","")</f>
        <v>0130011496</v>
      </c>
      <c r="E854" t="str">
        <f>CONCATENATE("0121140000070       ","")</f>
        <v>0121140000070       </v>
      </c>
      <c r="F854" t="str">
        <f>CONCATENATE("605933999","")</f>
        <v>605933999</v>
      </c>
      <c r="G854" t="s">
        <v>1754</v>
      </c>
      <c r="H854" t="s">
        <v>1757</v>
      </c>
      <c r="I854" t="s">
        <v>1758</v>
      </c>
      <c r="J854" t="str">
        <f t="shared" si="105"/>
        <v>081212</v>
      </c>
      <c r="K854" t="s">
        <v>23</v>
      </c>
      <c r="L854" t="s">
        <v>24</v>
      </c>
      <c r="M854" t="str">
        <f t="shared" si="103"/>
        <v>1</v>
      </c>
      <c r="O854" t="str">
        <f t="shared" si="106"/>
        <v>1 </v>
      </c>
      <c r="P854">
        <v>114.6</v>
      </c>
      <c r="Q854" t="s">
        <v>25</v>
      </c>
    </row>
    <row r="855" spans="1:17" ht="12.75">
      <c r="A855" t="s">
        <v>17</v>
      </c>
      <c r="B855" t="s">
        <v>18</v>
      </c>
      <c r="C855" t="s">
        <v>1416</v>
      </c>
      <c r="D855" t="str">
        <f>CONCATENATE("0130007048","")</f>
        <v>0130007048</v>
      </c>
      <c r="E855" t="str">
        <f>CONCATENATE("0121140000300       ","")</f>
        <v>0121140000300       </v>
      </c>
      <c r="F855" t="str">
        <f>CONCATENATE("605117641","")</f>
        <v>605117641</v>
      </c>
      <c r="G855" t="s">
        <v>1754</v>
      </c>
      <c r="H855" t="s">
        <v>1759</v>
      </c>
      <c r="I855" t="s">
        <v>1698</v>
      </c>
      <c r="J855" t="str">
        <f t="shared" si="105"/>
        <v>081212</v>
      </c>
      <c r="K855" t="s">
        <v>23</v>
      </c>
      <c r="L855" t="s">
        <v>24</v>
      </c>
      <c r="M855" t="str">
        <f t="shared" si="103"/>
        <v>1</v>
      </c>
      <c r="O855" t="str">
        <f t="shared" si="106"/>
        <v>1 </v>
      </c>
      <c r="P855">
        <v>59.05</v>
      </c>
      <c r="Q855" t="s">
        <v>25</v>
      </c>
    </row>
    <row r="856" spans="1:17" ht="12.75">
      <c r="A856" t="s">
        <v>17</v>
      </c>
      <c r="B856" t="s">
        <v>18</v>
      </c>
      <c r="C856" t="s">
        <v>1416</v>
      </c>
      <c r="D856" t="str">
        <f>CONCATENATE("0130007056","")</f>
        <v>0130007056</v>
      </c>
      <c r="E856" t="str">
        <f>CONCATENATE("0121140000390       ","")</f>
        <v>0121140000390       </v>
      </c>
      <c r="F856" t="str">
        <f>CONCATENATE("660335","")</f>
        <v>660335</v>
      </c>
      <c r="G856" t="s">
        <v>1754</v>
      </c>
      <c r="H856" t="s">
        <v>1760</v>
      </c>
      <c r="I856" t="s">
        <v>1698</v>
      </c>
      <c r="J856" t="str">
        <f t="shared" si="105"/>
        <v>081212</v>
      </c>
      <c r="K856" t="s">
        <v>23</v>
      </c>
      <c r="L856" t="s">
        <v>24</v>
      </c>
      <c r="M856" t="str">
        <f t="shared" si="103"/>
        <v>1</v>
      </c>
      <c r="O856" t="str">
        <f t="shared" si="106"/>
        <v>1 </v>
      </c>
      <c r="P856">
        <v>42.35</v>
      </c>
      <c r="Q856" t="s">
        <v>25</v>
      </c>
    </row>
    <row r="857" spans="1:17" ht="12.75">
      <c r="A857" t="s">
        <v>17</v>
      </c>
      <c r="B857" t="s">
        <v>18</v>
      </c>
      <c r="C857" t="s">
        <v>1416</v>
      </c>
      <c r="D857" t="str">
        <f>CONCATENATE("0130007059","")</f>
        <v>0130007059</v>
      </c>
      <c r="E857" t="str">
        <f>CONCATENATE("0121140000420       ","")</f>
        <v>0121140000420       </v>
      </c>
      <c r="F857" t="str">
        <f>CONCATENATE("719254","")</f>
        <v>719254</v>
      </c>
      <c r="G857" t="s">
        <v>1754</v>
      </c>
      <c r="H857" t="s">
        <v>1761</v>
      </c>
      <c r="I857" t="s">
        <v>1698</v>
      </c>
      <c r="J857" t="str">
        <f t="shared" si="105"/>
        <v>081212</v>
      </c>
      <c r="K857" t="s">
        <v>23</v>
      </c>
      <c r="L857" t="s">
        <v>24</v>
      </c>
      <c r="M857" t="str">
        <f t="shared" si="103"/>
        <v>1</v>
      </c>
      <c r="O857" t="str">
        <f t="shared" si="106"/>
        <v>1 </v>
      </c>
      <c r="P857">
        <v>32.15</v>
      </c>
      <c r="Q857" t="s">
        <v>25</v>
      </c>
    </row>
    <row r="858" spans="1:17" ht="12.75">
      <c r="A858" t="s">
        <v>17</v>
      </c>
      <c r="B858" t="s">
        <v>18</v>
      </c>
      <c r="C858" t="s">
        <v>1416</v>
      </c>
      <c r="D858" t="str">
        <f>CONCATENATE("0130007567","")</f>
        <v>0130007567</v>
      </c>
      <c r="E858" t="str">
        <f>CONCATENATE("0121140000445       ","")</f>
        <v>0121140000445       </v>
      </c>
      <c r="F858" t="str">
        <f>CONCATENATE("605398053","")</f>
        <v>605398053</v>
      </c>
      <c r="G858" t="s">
        <v>1754</v>
      </c>
      <c r="H858" t="s">
        <v>1762</v>
      </c>
      <c r="I858" t="s">
        <v>1763</v>
      </c>
      <c r="J858" t="str">
        <f t="shared" si="105"/>
        <v>081212</v>
      </c>
      <c r="K858" t="s">
        <v>23</v>
      </c>
      <c r="L858" t="s">
        <v>24</v>
      </c>
      <c r="M858" t="str">
        <f t="shared" si="103"/>
        <v>1</v>
      </c>
      <c r="O858" t="str">
        <f t="shared" si="106"/>
        <v>1 </v>
      </c>
      <c r="P858">
        <v>109.9</v>
      </c>
      <c r="Q858" t="s">
        <v>25</v>
      </c>
    </row>
    <row r="859" spans="1:17" ht="12.75">
      <c r="A859" t="s">
        <v>17</v>
      </c>
      <c r="B859" t="s">
        <v>18</v>
      </c>
      <c r="C859" t="s">
        <v>1416</v>
      </c>
      <c r="D859" t="str">
        <f>CONCATENATE("0130007066","")</f>
        <v>0130007066</v>
      </c>
      <c r="E859" t="str">
        <f>CONCATENATE("0121140000500       ","")</f>
        <v>0121140000500       </v>
      </c>
      <c r="F859" t="str">
        <f>CONCATENATE("605353363","")</f>
        <v>605353363</v>
      </c>
      <c r="G859" t="s">
        <v>1754</v>
      </c>
      <c r="H859" t="s">
        <v>1764</v>
      </c>
      <c r="I859" t="s">
        <v>1698</v>
      </c>
      <c r="J859" t="str">
        <f t="shared" si="105"/>
        <v>081212</v>
      </c>
      <c r="K859" t="s">
        <v>23</v>
      </c>
      <c r="L859" t="s">
        <v>24</v>
      </c>
      <c r="M859" t="str">
        <f t="shared" si="103"/>
        <v>1</v>
      </c>
      <c r="O859" t="str">
        <f t="shared" si="106"/>
        <v>1 </v>
      </c>
      <c r="P859">
        <v>11.5</v>
      </c>
      <c r="Q859" t="s">
        <v>25</v>
      </c>
    </row>
    <row r="860" spans="1:17" ht="12.75">
      <c r="A860" t="s">
        <v>17</v>
      </c>
      <c r="B860" t="s">
        <v>18</v>
      </c>
      <c r="C860" t="s">
        <v>1416</v>
      </c>
      <c r="D860" t="str">
        <f>CONCATENATE("0130007074","")</f>
        <v>0130007074</v>
      </c>
      <c r="E860" t="str">
        <f>CONCATENATE("0121140000590       ","")</f>
        <v>0121140000590       </v>
      </c>
      <c r="F860" t="str">
        <f>CONCATENATE("605353373","")</f>
        <v>605353373</v>
      </c>
      <c r="G860" t="s">
        <v>1754</v>
      </c>
      <c r="H860" t="s">
        <v>1755</v>
      </c>
      <c r="I860" t="s">
        <v>1765</v>
      </c>
      <c r="J860" t="str">
        <f t="shared" si="105"/>
        <v>081212</v>
      </c>
      <c r="K860" t="s">
        <v>23</v>
      </c>
      <c r="L860" t="s">
        <v>24</v>
      </c>
      <c r="M860" t="str">
        <f t="shared" si="103"/>
        <v>1</v>
      </c>
      <c r="O860" t="str">
        <f t="shared" si="106"/>
        <v>1 </v>
      </c>
      <c r="P860">
        <v>13.5</v>
      </c>
      <c r="Q860" t="s">
        <v>25</v>
      </c>
    </row>
    <row r="861" spans="1:17" ht="12.75">
      <c r="A861" t="s">
        <v>17</v>
      </c>
      <c r="B861" t="s">
        <v>18</v>
      </c>
      <c r="C861" t="s">
        <v>1416</v>
      </c>
      <c r="D861" t="str">
        <f>CONCATENATE("0130007087","")</f>
        <v>0130007087</v>
      </c>
      <c r="E861" t="str">
        <f>CONCATENATE("0121140000740       ","")</f>
        <v>0121140000740       </v>
      </c>
      <c r="F861" t="str">
        <f>CONCATENATE("605353372","")</f>
        <v>605353372</v>
      </c>
      <c r="G861" t="s">
        <v>1754</v>
      </c>
      <c r="H861" t="s">
        <v>1766</v>
      </c>
      <c r="I861" t="s">
        <v>1707</v>
      </c>
      <c r="J861" t="str">
        <f t="shared" si="105"/>
        <v>081212</v>
      </c>
      <c r="K861" t="s">
        <v>23</v>
      </c>
      <c r="L861" t="s">
        <v>24</v>
      </c>
      <c r="M861" t="str">
        <f t="shared" si="103"/>
        <v>1</v>
      </c>
      <c r="O861" t="str">
        <f>CONCATENATE("2 ","")</f>
        <v>2 </v>
      </c>
      <c r="P861">
        <v>20.15</v>
      </c>
      <c r="Q861" t="s">
        <v>25</v>
      </c>
    </row>
    <row r="862" spans="1:17" ht="12.75">
      <c r="A862" t="s">
        <v>17</v>
      </c>
      <c r="B862" t="s">
        <v>18</v>
      </c>
      <c r="C862" t="s">
        <v>1416</v>
      </c>
      <c r="D862" t="str">
        <f>CONCATENATE("0130007090","")</f>
        <v>0130007090</v>
      </c>
      <c r="E862" t="str">
        <f>CONCATENATE("0121140000770       ","")</f>
        <v>0121140000770       </v>
      </c>
      <c r="F862" t="str">
        <f>CONCATENATE("605117646","")</f>
        <v>605117646</v>
      </c>
      <c r="G862" t="s">
        <v>1754</v>
      </c>
      <c r="H862" t="s">
        <v>1767</v>
      </c>
      <c r="I862" t="s">
        <v>1707</v>
      </c>
      <c r="J862" t="str">
        <f t="shared" si="105"/>
        <v>081212</v>
      </c>
      <c r="K862" t="s">
        <v>23</v>
      </c>
      <c r="L862" t="s">
        <v>24</v>
      </c>
      <c r="M862" t="str">
        <f t="shared" si="103"/>
        <v>1</v>
      </c>
      <c r="O862" t="str">
        <f>CONCATENATE("1 ","")</f>
        <v>1 </v>
      </c>
      <c r="P862">
        <v>69.25</v>
      </c>
      <c r="Q862" t="s">
        <v>25</v>
      </c>
    </row>
    <row r="863" spans="1:17" ht="12.75">
      <c r="A863" t="s">
        <v>17</v>
      </c>
      <c r="B863" t="s">
        <v>18</v>
      </c>
      <c r="C863" t="s">
        <v>1416</v>
      </c>
      <c r="D863" t="str">
        <f>CONCATENATE("0130007103","")</f>
        <v>0130007103</v>
      </c>
      <c r="E863" t="str">
        <f>CONCATENATE("0121140000900       ","")</f>
        <v>0121140000900       </v>
      </c>
      <c r="F863" t="str">
        <f>CONCATENATE("507008777","")</f>
        <v>507008777</v>
      </c>
      <c r="G863" t="s">
        <v>1754</v>
      </c>
      <c r="H863" t="s">
        <v>1768</v>
      </c>
      <c r="I863" t="s">
        <v>1698</v>
      </c>
      <c r="J863" t="str">
        <f t="shared" si="105"/>
        <v>081212</v>
      </c>
      <c r="K863" t="s">
        <v>23</v>
      </c>
      <c r="L863" t="s">
        <v>24</v>
      </c>
      <c r="M863" t="str">
        <f>CONCATENATE("3","")</f>
        <v>3</v>
      </c>
      <c r="O863" t="str">
        <f>CONCATENATE("1 ","")</f>
        <v>1 </v>
      </c>
      <c r="P863">
        <v>115.05</v>
      </c>
      <c r="Q863" t="s">
        <v>124</v>
      </c>
    </row>
    <row r="864" spans="1:17" ht="12.75">
      <c r="A864" t="s">
        <v>17</v>
      </c>
      <c r="B864" t="s">
        <v>18</v>
      </c>
      <c r="C864" t="s">
        <v>1416</v>
      </c>
      <c r="D864" t="str">
        <f>CONCATENATE("0130007104","")</f>
        <v>0130007104</v>
      </c>
      <c r="E864" t="str">
        <f>CONCATENATE("0121140000920       ","")</f>
        <v>0121140000920       </v>
      </c>
      <c r="F864" t="str">
        <f>CONCATENATE("605353360","")</f>
        <v>605353360</v>
      </c>
      <c r="G864" t="s">
        <v>1754</v>
      </c>
      <c r="H864" t="s">
        <v>1769</v>
      </c>
      <c r="I864" t="s">
        <v>1698</v>
      </c>
      <c r="J864" t="str">
        <f t="shared" si="105"/>
        <v>081212</v>
      </c>
      <c r="K864" t="s">
        <v>23</v>
      </c>
      <c r="L864" t="s">
        <v>24</v>
      </c>
      <c r="M864" t="str">
        <f aca="true" t="shared" si="107" ref="M864:M893">CONCATENATE("1","")</f>
        <v>1</v>
      </c>
      <c r="O864" t="str">
        <f>CONCATENATE("1 ","")</f>
        <v>1 </v>
      </c>
      <c r="P864">
        <v>11.75</v>
      </c>
      <c r="Q864" t="s">
        <v>25</v>
      </c>
    </row>
    <row r="865" spans="1:17" ht="12.75">
      <c r="A865" t="s">
        <v>17</v>
      </c>
      <c r="B865" t="s">
        <v>18</v>
      </c>
      <c r="C865" t="s">
        <v>1416</v>
      </c>
      <c r="D865" t="str">
        <f>CONCATENATE("0130007107","")</f>
        <v>0130007107</v>
      </c>
      <c r="E865" t="str">
        <f>CONCATENATE("0121140000950       ","")</f>
        <v>0121140000950       </v>
      </c>
      <c r="F865" t="str">
        <f>CONCATENATE("605392357","")</f>
        <v>605392357</v>
      </c>
      <c r="G865" t="s">
        <v>1754</v>
      </c>
      <c r="H865" t="s">
        <v>1770</v>
      </c>
      <c r="I865" t="s">
        <v>1771</v>
      </c>
      <c r="J865" t="str">
        <f t="shared" si="105"/>
        <v>081212</v>
      </c>
      <c r="K865" t="s">
        <v>23</v>
      </c>
      <c r="L865" t="s">
        <v>24</v>
      </c>
      <c r="M865" t="str">
        <f t="shared" si="107"/>
        <v>1</v>
      </c>
      <c r="O865" t="str">
        <f>CONCATENATE("1 ","")</f>
        <v>1 </v>
      </c>
      <c r="P865">
        <v>11.5</v>
      </c>
      <c r="Q865" t="s">
        <v>25</v>
      </c>
    </row>
    <row r="866" spans="1:17" ht="12.75">
      <c r="A866" t="s">
        <v>17</v>
      </c>
      <c r="B866" t="s">
        <v>18</v>
      </c>
      <c r="C866" t="s">
        <v>1416</v>
      </c>
      <c r="D866" t="str">
        <f>CONCATENATE("0130007112","")</f>
        <v>0130007112</v>
      </c>
      <c r="E866" t="str">
        <f>CONCATENATE("0121140001000       ","")</f>
        <v>0121140001000       </v>
      </c>
      <c r="F866" t="str">
        <f>CONCATENATE("605117632","")</f>
        <v>605117632</v>
      </c>
      <c r="G866" t="s">
        <v>1754</v>
      </c>
      <c r="H866" t="s">
        <v>1772</v>
      </c>
      <c r="I866" t="s">
        <v>1773</v>
      </c>
      <c r="J866" t="str">
        <f t="shared" si="105"/>
        <v>081212</v>
      </c>
      <c r="K866" t="s">
        <v>23</v>
      </c>
      <c r="L866" t="s">
        <v>24</v>
      </c>
      <c r="M866" t="str">
        <f t="shared" si="107"/>
        <v>1</v>
      </c>
      <c r="O866" t="str">
        <f>CONCATENATE("1 ","")</f>
        <v>1 </v>
      </c>
      <c r="P866">
        <v>109.25</v>
      </c>
      <c r="Q866" t="s">
        <v>25</v>
      </c>
    </row>
    <row r="867" spans="1:17" ht="12.75">
      <c r="A867" t="s">
        <v>17</v>
      </c>
      <c r="B867" t="s">
        <v>18</v>
      </c>
      <c r="C867" t="s">
        <v>1416</v>
      </c>
      <c r="D867" t="str">
        <f>CONCATENATE("0130007120","")</f>
        <v>0130007120</v>
      </c>
      <c r="E867" t="str">
        <f>CONCATENATE("0121140001070       ","")</f>
        <v>0121140001070       </v>
      </c>
      <c r="F867" t="str">
        <f>CONCATENATE("605353354","")</f>
        <v>605353354</v>
      </c>
      <c r="G867" t="s">
        <v>1754</v>
      </c>
      <c r="H867" t="s">
        <v>1774</v>
      </c>
      <c r="I867" t="s">
        <v>1771</v>
      </c>
      <c r="J867" t="str">
        <f t="shared" si="105"/>
        <v>081212</v>
      </c>
      <c r="K867" t="s">
        <v>23</v>
      </c>
      <c r="L867" t="s">
        <v>24</v>
      </c>
      <c r="M867" t="str">
        <f t="shared" si="107"/>
        <v>1</v>
      </c>
      <c r="O867" t="str">
        <f>CONCATENATE("2 ","")</f>
        <v>2 </v>
      </c>
      <c r="P867">
        <v>17.25</v>
      </c>
      <c r="Q867" t="s">
        <v>25</v>
      </c>
    </row>
    <row r="868" spans="1:17" ht="12.75">
      <c r="A868" t="s">
        <v>17</v>
      </c>
      <c r="B868" t="s">
        <v>18</v>
      </c>
      <c r="C868" t="s">
        <v>1416</v>
      </c>
      <c r="D868" t="str">
        <f>CONCATENATE("0130013866","")</f>
        <v>0130013866</v>
      </c>
      <c r="E868" t="str">
        <f>CONCATENATE("0121140030510       ","")</f>
        <v>0121140030510       </v>
      </c>
      <c r="F868" t="str">
        <f>CONCATENATE("606677055","")</f>
        <v>606677055</v>
      </c>
      <c r="G868" t="s">
        <v>1754</v>
      </c>
      <c r="H868" t="s">
        <v>1775</v>
      </c>
      <c r="I868" t="s">
        <v>1776</v>
      </c>
      <c r="J868" t="str">
        <f t="shared" si="105"/>
        <v>081212</v>
      </c>
      <c r="K868" t="s">
        <v>23</v>
      </c>
      <c r="L868" t="s">
        <v>24</v>
      </c>
      <c r="M868" t="str">
        <f t="shared" si="107"/>
        <v>1</v>
      </c>
      <c r="O868" t="str">
        <f aca="true" t="shared" si="108" ref="O868:O877">CONCATENATE("1 ","")</f>
        <v>1 </v>
      </c>
      <c r="P868">
        <v>28.2</v>
      </c>
      <c r="Q868" t="s">
        <v>25</v>
      </c>
    </row>
    <row r="869" spans="1:17" ht="12.75">
      <c r="A869" t="s">
        <v>17</v>
      </c>
      <c r="B869" t="s">
        <v>18</v>
      </c>
      <c r="C869" t="s">
        <v>1416</v>
      </c>
      <c r="D869" t="str">
        <f>CONCATENATE("0130013882","")</f>
        <v>0130013882</v>
      </c>
      <c r="E869" t="str">
        <f>CONCATENATE("0121140030540       ","")</f>
        <v>0121140030540       </v>
      </c>
      <c r="F869" t="str">
        <f>CONCATENATE("1132084","")</f>
        <v>1132084</v>
      </c>
      <c r="G869" t="s">
        <v>1754</v>
      </c>
      <c r="H869" t="s">
        <v>1777</v>
      </c>
      <c r="I869" t="s">
        <v>1778</v>
      </c>
      <c r="J869" t="str">
        <f t="shared" si="105"/>
        <v>081212</v>
      </c>
      <c r="K869" t="s">
        <v>23</v>
      </c>
      <c r="L869" t="s">
        <v>24</v>
      </c>
      <c r="M869" t="str">
        <f t="shared" si="107"/>
        <v>1</v>
      </c>
      <c r="O869" t="str">
        <f t="shared" si="108"/>
        <v>1 </v>
      </c>
      <c r="P869">
        <v>15.15</v>
      </c>
      <c r="Q869" t="s">
        <v>25</v>
      </c>
    </row>
    <row r="870" spans="1:17" ht="12.75">
      <c r="A870" t="s">
        <v>17</v>
      </c>
      <c r="B870" t="s">
        <v>18</v>
      </c>
      <c r="C870" t="s">
        <v>1416</v>
      </c>
      <c r="D870" t="str">
        <f>CONCATENATE("0040033958","")</f>
        <v>0040033958</v>
      </c>
      <c r="E870" t="str">
        <f>CONCATENATE("0121141001170       ","")</f>
        <v>0121141001170       </v>
      </c>
      <c r="F870" t="str">
        <f>CONCATENATE("606673981","")</f>
        <v>606673981</v>
      </c>
      <c r="G870" t="s">
        <v>1779</v>
      </c>
      <c r="H870" t="s">
        <v>1780</v>
      </c>
      <c r="I870" t="s">
        <v>1781</v>
      </c>
      <c r="J870" t="str">
        <f t="shared" si="105"/>
        <v>081212</v>
      </c>
      <c r="K870" t="s">
        <v>23</v>
      </c>
      <c r="L870" t="s">
        <v>24</v>
      </c>
      <c r="M870" t="str">
        <f t="shared" si="107"/>
        <v>1</v>
      </c>
      <c r="O870" t="str">
        <f t="shared" si="108"/>
        <v>1 </v>
      </c>
      <c r="P870">
        <v>16.1</v>
      </c>
      <c r="Q870" t="s">
        <v>25</v>
      </c>
    </row>
    <row r="871" spans="1:17" ht="12.75">
      <c r="A871" t="s">
        <v>17</v>
      </c>
      <c r="B871" t="s">
        <v>18</v>
      </c>
      <c r="C871" t="s">
        <v>1416</v>
      </c>
      <c r="D871" t="str">
        <f>CONCATENATE("0040033968","")</f>
        <v>0040033968</v>
      </c>
      <c r="E871" t="str">
        <f>CONCATENATE("0121141002015       ","")</f>
        <v>0121141002015       </v>
      </c>
      <c r="F871" t="str">
        <f>CONCATENATE("606673991","")</f>
        <v>606673991</v>
      </c>
      <c r="G871" t="s">
        <v>1779</v>
      </c>
      <c r="H871" t="s">
        <v>1782</v>
      </c>
      <c r="I871" t="s">
        <v>1783</v>
      </c>
      <c r="J871" t="str">
        <f t="shared" si="105"/>
        <v>081212</v>
      </c>
      <c r="K871" t="s">
        <v>23</v>
      </c>
      <c r="L871" t="s">
        <v>24</v>
      </c>
      <c r="M871" t="str">
        <f t="shared" si="107"/>
        <v>1</v>
      </c>
      <c r="O871" t="str">
        <f t="shared" si="108"/>
        <v>1 </v>
      </c>
      <c r="P871">
        <v>23.35</v>
      </c>
      <c r="Q871" t="s">
        <v>25</v>
      </c>
    </row>
    <row r="872" spans="1:17" ht="12.75">
      <c r="A872" t="s">
        <v>17</v>
      </c>
      <c r="B872" t="s">
        <v>18</v>
      </c>
      <c r="C872" t="s">
        <v>1416</v>
      </c>
      <c r="D872" t="str">
        <f>CONCATENATE("0040032737","")</f>
        <v>0040032737</v>
      </c>
      <c r="E872" t="str">
        <f>CONCATENATE("0121142030070       ","")</f>
        <v>0121142030070       </v>
      </c>
      <c r="F872" t="str">
        <f>CONCATENATE("606143774","")</f>
        <v>606143774</v>
      </c>
      <c r="G872" t="s">
        <v>1784</v>
      </c>
      <c r="H872" t="s">
        <v>1785</v>
      </c>
      <c r="I872" t="s">
        <v>1786</v>
      </c>
      <c r="J872" t="str">
        <f t="shared" si="105"/>
        <v>081212</v>
      </c>
      <c r="K872" t="s">
        <v>23</v>
      </c>
      <c r="L872" t="s">
        <v>24</v>
      </c>
      <c r="M872" t="str">
        <f t="shared" si="107"/>
        <v>1</v>
      </c>
      <c r="O872" t="str">
        <f t="shared" si="108"/>
        <v>1 </v>
      </c>
      <c r="P872">
        <v>26</v>
      </c>
      <c r="Q872" t="s">
        <v>25</v>
      </c>
    </row>
    <row r="873" spans="1:17" ht="12.75">
      <c r="A873" t="s">
        <v>17</v>
      </c>
      <c r="B873" t="s">
        <v>18</v>
      </c>
      <c r="C873" t="s">
        <v>1416</v>
      </c>
      <c r="D873" t="str">
        <f>CONCATENATE("0040032743","")</f>
        <v>0040032743</v>
      </c>
      <c r="E873" t="str">
        <f>CONCATENATE("0121142030145       ","")</f>
        <v>0121142030145       </v>
      </c>
      <c r="F873" t="str">
        <f>CONCATENATE("606144333","")</f>
        <v>606144333</v>
      </c>
      <c r="G873" t="s">
        <v>1784</v>
      </c>
      <c r="H873" t="s">
        <v>1787</v>
      </c>
      <c r="I873" t="s">
        <v>1786</v>
      </c>
      <c r="J873" t="str">
        <f t="shared" si="105"/>
        <v>081212</v>
      </c>
      <c r="K873" t="s">
        <v>23</v>
      </c>
      <c r="L873" t="s">
        <v>24</v>
      </c>
      <c r="M873" t="str">
        <f t="shared" si="107"/>
        <v>1</v>
      </c>
      <c r="O873" t="str">
        <f t="shared" si="108"/>
        <v>1 </v>
      </c>
      <c r="P873">
        <v>13.15</v>
      </c>
      <c r="Q873" t="s">
        <v>25</v>
      </c>
    </row>
    <row r="874" spans="1:17" ht="12.75">
      <c r="A874" t="s">
        <v>17</v>
      </c>
      <c r="B874" t="s">
        <v>18</v>
      </c>
      <c r="C874" t="s">
        <v>1416</v>
      </c>
      <c r="D874" t="str">
        <f>CONCATENATE("0040032745","")</f>
        <v>0040032745</v>
      </c>
      <c r="E874" t="str">
        <f>CONCATENATE("0121142030200       ","")</f>
        <v>0121142030200       </v>
      </c>
      <c r="F874" t="str">
        <f>CONCATENATE("606144336","")</f>
        <v>606144336</v>
      </c>
      <c r="G874" t="s">
        <v>1784</v>
      </c>
      <c r="H874" t="s">
        <v>1788</v>
      </c>
      <c r="I874" t="s">
        <v>1786</v>
      </c>
      <c r="J874" t="str">
        <f t="shared" si="105"/>
        <v>081212</v>
      </c>
      <c r="K874" t="s">
        <v>23</v>
      </c>
      <c r="L874" t="s">
        <v>24</v>
      </c>
      <c r="M874" t="str">
        <f t="shared" si="107"/>
        <v>1</v>
      </c>
      <c r="O874" t="str">
        <f t="shared" si="108"/>
        <v>1 </v>
      </c>
      <c r="P874">
        <v>14</v>
      </c>
      <c r="Q874" t="s">
        <v>25</v>
      </c>
    </row>
    <row r="875" spans="1:17" ht="12.75">
      <c r="A875" t="s">
        <v>17</v>
      </c>
      <c r="B875" t="s">
        <v>18</v>
      </c>
      <c r="C875" t="s">
        <v>1416</v>
      </c>
      <c r="D875" t="str">
        <f>CONCATENATE("0040032803","")</f>
        <v>0040032803</v>
      </c>
      <c r="E875" t="str">
        <f>CONCATENATE("0121142040070       ","")</f>
        <v>0121142040070       </v>
      </c>
      <c r="F875" t="str">
        <f>CONCATENATE("606144353","")</f>
        <v>606144353</v>
      </c>
      <c r="G875" t="s">
        <v>1784</v>
      </c>
      <c r="H875" t="s">
        <v>1789</v>
      </c>
      <c r="I875" t="s">
        <v>1790</v>
      </c>
      <c r="J875" t="str">
        <f t="shared" si="105"/>
        <v>081212</v>
      </c>
      <c r="K875" t="s">
        <v>23</v>
      </c>
      <c r="L875" t="s">
        <v>24</v>
      </c>
      <c r="M875" t="str">
        <f t="shared" si="107"/>
        <v>1</v>
      </c>
      <c r="O875" t="str">
        <f t="shared" si="108"/>
        <v>1 </v>
      </c>
      <c r="P875">
        <v>16.7</v>
      </c>
      <c r="Q875" t="s">
        <v>25</v>
      </c>
    </row>
    <row r="876" spans="1:17" ht="12.75">
      <c r="A876" t="s">
        <v>17</v>
      </c>
      <c r="B876" t="s">
        <v>18</v>
      </c>
      <c r="C876" t="s">
        <v>1416</v>
      </c>
      <c r="D876" t="str">
        <f>CONCATENATE("0040032804","")</f>
        <v>0040032804</v>
      </c>
      <c r="E876" t="str">
        <f>CONCATENATE("0121142040110       ","")</f>
        <v>0121142040110       </v>
      </c>
      <c r="F876" t="str">
        <f>CONCATENATE("606144340","")</f>
        <v>606144340</v>
      </c>
      <c r="G876" t="s">
        <v>1784</v>
      </c>
      <c r="H876" t="s">
        <v>1791</v>
      </c>
      <c r="I876" t="s">
        <v>1790</v>
      </c>
      <c r="J876" t="str">
        <f aca="true" t="shared" si="109" ref="J876:J904">CONCATENATE("081212","")</f>
        <v>081212</v>
      </c>
      <c r="K876" t="s">
        <v>23</v>
      </c>
      <c r="L876" t="s">
        <v>24</v>
      </c>
      <c r="M876" t="str">
        <f t="shared" si="107"/>
        <v>1</v>
      </c>
      <c r="O876" t="str">
        <f t="shared" si="108"/>
        <v>1 </v>
      </c>
      <c r="P876">
        <v>12.3</v>
      </c>
      <c r="Q876" t="s">
        <v>25</v>
      </c>
    </row>
    <row r="877" spans="1:17" ht="12.75">
      <c r="A877" t="s">
        <v>17</v>
      </c>
      <c r="B877" t="s">
        <v>18</v>
      </c>
      <c r="C877" t="s">
        <v>1416</v>
      </c>
      <c r="D877" t="str">
        <f>CONCATENATE("0040032797","")</f>
        <v>0040032797</v>
      </c>
      <c r="E877" t="str">
        <f>CONCATENATE("0121142040130       ","")</f>
        <v>0121142040130       </v>
      </c>
      <c r="F877" t="str">
        <f>CONCATENATE("606144350","")</f>
        <v>606144350</v>
      </c>
      <c r="G877" t="s">
        <v>1784</v>
      </c>
      <c r="H877" t="s">
        <v>1792</v>
      </c>
      <c r="I877" t="s">
        <v>1790</v>
      </c>
      <c r="J877" t="str">
        <f t="shared" si="109"/>
        <v>081212</v>
      </c>
      <c r="K877" t="s">
        <v>23</v>
      </c>
      <c r="L877" t="s">
        <v>24</v>
      </c>
      <c r="M877" t="str">
        <f t="shared" si="107"/>
        <v>1</v>
      </c>
      <c r="O877" t="str">
        <f t="shared" si="108"/>
        <v>1 </v>
      </c>
      <c r="P877">
        <v>19.35</v>
      </c>
      <c r="Q877" t="s">
        <v>25</v>
      </c>
    </row>
    <row r="878" spans="1:17" ht="12.75">
      <c r="A878" t="s">
        <v>17</v>
      </c>
      <c r="B878" t="s">
        <v>18</v>
      </c>
      <c r="C878" t="s">
        <v>1416</v>
      </c>
      <c r="D878" t="str">
        <f>CONCATENATE("0040032807","")</f>
        <v>0040032807</v>
      </c>
      <c r="E878" t="str">
        <f>CONCATENATE("0121142040150       ","")</f>
        <v>0121142040150       </v>
      </c>
      <c r="F878" t="str">
        <f>CONCATENATE("606144357","")</f>
        <v>606144357</v>
      </c>
      <c r="G878" t="s">
        <v>1784</v>
      </c>
      <c r="H878" t="s">
        <v>1793</v>
      </c>
      <c r="I878" t="s">
        <v>1790</v>
      </c>
      <c r="J878" t="str">
        <f t="shared" si="109"/>
        <v>081212</v>
      </c>
      <c r="K878" t="s">
        <v>23</v>
      </c>
      <c r="L878" t="s">
        <v>24</v>
      </c>
      <c r="M878" t="str">
        <f t="shared" si="107"/>
        <v>1</v>
      </c>
      <c r="O878" t="str">
        <f>CONCATENATE("5 ","")</f>
        <v>5 </v>
      </c>
      <c r="P878">
        <v>114.2</v>
      </c>
      <c r="Q878" t="s">
        <v>25</v>
      </c>
    </row>
    <row r="879" spans="1:17" ht="12.75">
      <c r="A879" t="s">
        <v>17</v>
      </c>
      <c r="B879" t="s">
        <v>18</v>
      </c>
      <c r="C879" t="s">
        <v>1416</v>
      </c>
      <c r="D879" t="str">
        <f>CONCATENATE("0040032805","")</f>
        <v>0040032805</v>
      </c>
      <c r="E879" t="str">
        <f>CONCATENATE("0121142040170       ","")</f>
        <v>0121142040170       </v>
      </c>
      <c r="F879" t="str">
        <f>CONCATENATE("606144339","")</f>
        <v>606144339</v>
      </c>
      <c r="G879" t="s">
        <v>1784</v>
      </c>
      <c r="H879" t="s">
        <v>1794</v>
      </c>
      <c r="I879" t="s">
        <v>1790</v>
      </c>
      <c r="J879" t="str">
        <f t="shared" si="109"/>
        <v>081212</v>
      </c>
      <c r="K879" t="s">
        <v>23</v>
      </c>
      <c r="L879" t="s">
        <v>24</v>
      </c>
      <c r="M879" t="str">
        <f t="shared" si="107"/>
        <v>1</v>
      </c>
      <c r="O879" t="str">
        <f aca="true" t="shared" si="110" ref="O879:O896">CONCATENATE("1 ","")</f>
        <v>1 </v>
      </c>
      <c r="P879">
        <v>11.5</v>
      </c>
      <c r="Q879" t="s">
        <v>25</v>
      </c>
    </row>
    <row r="880" spans="1:17" ht="12.75">
      <c r="A880" t="s">
        <v>17</v>
      </c>
      <c r="B880" t="s">
        <v>18</v>
      </c>
      <c r="C880" t="s">
        <v>1416</v>
      </c>
      <c r="D880" t="str">
        <f>CONCATENATE("0040032724","")</f>
        <v>0040032724</v>
      </c>
      <c r="E880" t="str">
        <f>CONCATENATE("0121142050040       ","")</f>
        <v>0121142050040       </v>
      </c>
      <c r="F880" t="str">
        <f>CONCATENATE("606095203","")</f>
        <v>606095203</v>
      </c>
      <c r="G880" t="s">
        <v>1784</v>
      </c>
      <c r="H880" t="s">
        <v>1795</v>
      </c>
      <c r="I880" t="s">
        <v>1796</v>
      </c>
      <c r="J880" t="str">
        <f t="shared" si="109"/>
        <v>081212</v>
      </c>
      <c r="K880" t="s">
        <v>23</v>
      </c>
      <c r="L880" t="s">
        <v>24</v>
      </c>
      <c r="M880" t="str">
        <f t="shared" si="107"/>
        <v>1</v>
      </c>
      <c r="O880" t="str">
        <f t="shared" si="110"/>
        <v>1 </v>
      </c>
      <c r="P880">
        <v>20.15</v>
      </c>
      <c r="Q880" t="s">
        <v>25</v>
      </c>
    </row>
    <row r="881" spans="1:17" ht="12.75">
      <c r="A881" t="s">
        <v>17</v>
      </c>
      <c r="B881" t="s">
        <v>18</v>
      </c>
      <c r="C881" t="s">
        <v>1416</v>
      </c>
      <c r="D881" t="str">
        <f>CONCATENATE("0040032733","")</f>
        <v>0040032733</v>
      </c>
      <c r="E881" t="str">
        <f>CONCATENATE("0121142050100       ","")</f>
        <v>0121142050100       </v>
      </c>
      <c r="F881" t="str">
        <f>CONCATENATE("606095176","")</f>
        <v>606095176</v>
      </c>
      <c r="G881" t="s">
        <v>1784</v>
      </c>
      <c r="H881" t="s">
        <v>1797</v>
      </c>
      <c r="I881" t="s">
        <v>1796</v>
      </c>
      <c r="J881" t="str">
        <f t="shared" si="109"/>
        <v>081212</v>
      </c>
      <c r="K881" t="s">
        <v>23</v>
      </c>
      <c r="L881" t="s">
        <v>24</v>
      </c>
      <c r="M881" t="str">
        <f t="shared" si="107"/>
        <v>1</v>
      </c>
      <c r="O881" t="str">
        <f t="shared" si="110"/>
        <v>1 </v>
      </c>
      <c r="P881">
        <v>12.3</v>
      </c>
      <c r="Q881" t="s">
        <v>25</v>
      </c>
    </row>
    <row r="882" spans="1:17" ht="12.75">
      <c r="A882" t="s">
        <v>17</v>
      </c>
      <c r="B882" t="s">
        <v>18</v>
      </c>
      <c r="C882" t="s">
        <v>1416</v>
      </c>
      <c r="D882" t="str">
        <f>CONCATENATE("0040032731","")</f>
        <v>0040032731</v>
      </c>
      <c r="E882" t="str">
        <f>CONCATENATE("0121142050120       ","")</f>
        <v>0121142050120       </v>
      </c>
      <c r="F882" t="str">
        <f>CONCATENATE("606095162","")</f>
        <v>606095162</v>
      </c>
      <c r="G882" t="s">
        <v>1784</v>
      </c>
      <c r="H882" t="s">
        <v>1798</v>
      </c>
      <c r="I882" t="s">
        <v>1796</v>
      </c>
      <c r="J882" t="str">
        <f t="shared" si="109"/>
        <v>081212</v>
      </c>
      <c r="K882" t="s">
        <v>23</v>
      </c>
      <c r="L882" t="s">
        <v>24</v>
      </c>
      <c r="M882" t="str">
        <f t="shared" si="107"/>
        <v>1</v>
      </c>
      <c r="O882" t="str">
        <f t="shared" si="110"/>
        <v>1 </v>
      </c>
      <c r="P882">
        <v>23.75</v>
      </c>
      <c r="Q882" t="s">
        <v>25</v>
      </c>
    </row>
    <row r="883" spans="1:17" ht="12.75">
      <c r="A883" t="s">
        <v>17</v>
      </c>
      <c r="B883" t="s">
        <v>18</v>
      </c>
      <c r="C883" t="s">
        <v>1416</v>
      </c>
      <c r="D883" t="str">
        <f>CONCATENATE("0130016861","")</f>
        <v>0130016861</v>
      </c>
      <c r="E883" t="str">
        <f>CONCATENATE("0121143000160       ","")</f>
        <v>0121143000160       </v>
      </c>
      <c r="F883" t="str">
        <f>CONCATENATE("605625057","")</f>
        <v>605625057</v>
      </c>
      <c r="G883" t="s">
        <v>1799</v>
      </c>
      <c r="H883" t="s">
        <v>1800</v>
      </c>
      <c r="I883" t="s">
        <v>1801</v>
      </c>
      <c r="J883" t="str">
        <f t="shared" si="109"/>
        <v>081212</v>
      </c>
      <c r="K883" t="s">
        <v>23</v>
      </c>
      <c r="L883" t="s">
        <v>24</v>
      </c>
      <c r="M883" t="str">
        <f t="shared" si="107"/>
        <v>1</v>
      </c>
      <c r="O883" t="str">
        <f t="shared" si="110"/>
        <v>1 </v>
      </c>
      <c r="P883">
        <v>29.85</v>
      </c>
      <c r="Q883" t="s">
        <v>25</v>
      </c>
    </row>
    <row r="884" spans="1:17" ht="12.75">
      <c r="A884" t="s">
        <v>17</v>
      </c>
      <c r="B884" t="s">
        <v>18</v>
      </c>
      <c r="C884" t="s">
        <v>1416</v>
      </c>
      <c r="D884" t="str">
        <f>CONCATENATE("0040033164","")</f>
        <v>0040033164</v>
      </c>
      <c r="E884" t="str">
        <f>CONCATENATE("0121143002000       ","")</f>
        <v>0121143002000       </v>
      </c>
      <c r="F884" t="str">
        <f>CONCATENATE("606095193","")</f>
        <v>606095193</v>
      </c>
      <c r="G884" t="s">
        <v>1799</v>
      </c>
      <c r="H884" t="s">
        <v>1802</v>
      </c>
      <c r="I884" t="s">
        <v>1803</v>
      </c>
      <c r="J884" t="str">
        <f t="shared" si="109"/>
        <v>081212</v>
      </c>
      <c r="K884" t="s">
        <v>23</v>
      </c>
      <c r="L884" t="s">
        <v>24</v>
      </c>
      <c r="M884" t="str">
        <f t="shared" si="107"/>
        <v>1</v>
      </c>
      <c r="O884" t="str">
        <f t="shared" si="110"/>
        <v>1 </v>
      </c>
      <c r="P884">
        <v>26.2</v>
      </c>
      <c r="Q884" t="s">
        <v>25</v>
      </c>
    </row>
    <row r="885" spans="1:17" ht="12.75">
      <c r="A885" t="s">
        <v>17</v>
      </c>
      <c r="B885" t="s">
        <v>18</v>
      </c>
      <c r="C885" t="s">
        <v>1416</v>
      </c>
      <c r="D885" t="str">
        <f>CONCATENATE("0040033144","")</f>
        <v>0040033144</v>
      </c>
      <c r="E885" t="str">
        <f>CONCATENATE("0121143002200       ","")</f>
        <v>0121143002200       </v>
      </c>
      <c r="F885" t="str">
        <f>CONCATENATE("606095192","")</f>
        <v>606095192</v>
      </c>
      <c r="G885" t="s">
        <v>1799</v>
      </c>
      <c r="H885" t="s">
        <v>1804</v>
      </c>
      <c r="I885" t="s">
        <v>1803</v>
      </c>
      <c r="J885" t="str">
        <f t="shared" si="109"/>
        <v>081212</v>
      </c>
      <c r="K885" t="s">
        <v>23</v>
      </c>
      <c r="L885" t="s">
        <v>24</v>
      </c>
      <c r="M885" t="str">
        <f t="shared" si="107"/>
        <v>1</v>
      </c>
      <c r="O885" t="str">
        <f t="shared" si="110"/>
        <v>1 </v>
      </c>
      <c r="P885">
        <v>11.5</v>
      </c>
      <c r="Q885" t="s">
        <v>25</v>
      </c>
    </row>
    <row r="886" spans="1:17" ht="12.75">
      <c r="A886" t="s">
        <v>17</v>
      </c>
      <c r="B886" t="s">
        <v>18</v>
      </c>
      <c r="C886" t="s">
        <v>1416</v>
      </c>
      <c r="D886" t="str">
        <f>CONCATENATE("0040033155","")</f>
        <v>0040033155</v>
      </c>
      <c r="E886" t="str">
        <f>CONCATENATE("0121143002240       ","")</f>
        <v>0121143002240       </v>
      </c>
      <c r="F886" t="str">
        <f>CONCATENATE("606095208","")</f>
        <v>606095208</v>
      </c>
      <c r="G886" t="s">
        <v>1799</v>
      </c>
      <c r="H886" t="s">
        <v>1805</v>
      </c>
      <c r="I886" t="s">
        <v>1803</v>
      </c>
      <c r="J886" t="str">
        <f t="shared" si="109"/>
        <v>081212</v>
      </c>
      <c r="K886" t="s">
        <v>23</v>
      </c>
      <c r="L886" t="s">
        <v>24</v>
      </c>
      <c r="M886" t="str">
        <f t="shared" si="107"/>
        <v>1</v>
      </c>
      <c r="O886" t="str">
        <f t="shared" si="110"/>
        <v>1 </v>
      </c>
      <c r="P886">
        <v>13.9</v>
      </c>
      <c r="Q886" t="s">
        <v>25</v>
      </c>
    </row>
    <row r="887" spans="1:17" ht="12.75">
      <c r="A887" t="s">
        <v>17</v>
      </c>
      <c r="B887" t="s">
        <v>18</v>
      </c>
      <c r="C887" t="s">
        <v>1416</v>
      </c>
      <c r="D887" t="str">
        <f>CONCATENATE("0130017034","")</f>
        <v>0130017034</v>
      </c>
      <c r="E887" t="str">
        <f>CONCATENATE("0121144001120       ","")</f>
        <v>0121144001120       </v>
      </c>
      <c r="F887" t="str">
        <f>CONCATENATE("605751359","")</f>
        <v>605751359</v>
      </c>
      <c r="G887" t="s">
        <v>1806</v>
      </c>
      <c r="H887" t="s">
        <v>1807</v>
      </c>
      <c r="I887" t="s">
        <v>1808</v>
      </c>
      <c r="J887" t="str">
        <f t="shared" si="109"/>
        <v>081212</v>
      </c>
      <c r="K887" t="s">
        <v>23</v>
      </c>
      <c r="L887" t="s">
        <v>24</v>
      </c>
      <c r="M887" t="str">
        <f t="shared" si="107"/>
        <v>1</v>
      </c>
      <c r="O887" t="str">
        <f t="shared" si="110"/>
        <v>1 </v>
      </c>
      <c r="P887">
        <v>10.55</v>
      </c>
      <c r="Q887" t="s">
        <v>25</v>
      </c>
    </row>
    <row r="888" spans="1:17" ht="12.75">
      <c r="A888" t="s">
        <v>17</v>
      </c>
      <c r="B888" t="s">
        <v>18</v>
      </c>
      <c r="C888" t="s">
        <v>1416</v>
      </c>
      <c r="D888" t="str">
        <f>CONCATENATE("0130017041","")</f>
        <v>0130017041</v>
      </c>
      <c r="E888" t="str">
        <f>CONCATENATE("0121144001230       ","")</f>
        <v>0121144001230       </v>
      </c>
      <c r="F888" t="str">
        <f>CONCATENATE("605751366","")</f>
        <v>605751366</v>
      </c>
      <c r="G888" t="s">
        <v>1806</v>
      </c>
      <c r="H888" t="s">
        <v>1809</v>
      </c>
      <c r="I888" t="s">
        <v>1808</v>
      </c>
      <c r="J888" t="str">
        <f t="shared" si="109"/>
        <v>081212</v>
      </c>
      <c r="K888" t="s">
        <v>23</v>
      </c>
      <c r="L888" t="s">
        <v>24</v>
      </c>
      <c r="M888" t="str">
        <f t="shared" si="107"/>
        <v>1</v>
      </c>
      <c r="O888" t="str">
        <f t="shared" si="110"/>
        <v>1 </v>
      </c>
      <c r="P888">
        <v>26.95</v>
      </c>
      <c r="Q888" t="s">
        <v>25</v>
      </c>
    </row>
    <row r="889" spans="1:17" ht="12.75">
      <c r="A889" t="s">
        <v>17</v>
      </c>
      <c r="B889" t="s">
        <v>18</v>
      </c>
      <c r="C889" t="s">
        <v>1416</v>
      </c>
      <c r="D889" t="str">
        <f>CONCATENATE("0130007736","")</f>
        <v>0130007736</v>
      </c>
      <c r="E889" t="str">
        <f>CONCATENATE("0121145000220       ","")</f>
        <v>0121145000220       </v>
      </c>
      <c r="F889" t="str">
        <f>CONCATENATE("605350479","")</f>
        <v>605350479</v>
      </c>
      <c r="G889" t="s">
        <v>1810</v>
      </c>
      <c r="H889" t="s">
        <v>1811</v>
      </c>
      <c r="I889" t="s">
        <v>1812</v>
      </c>
      <c r="J889" t="str">
        <f t="shared" si="109"/>
        <v>081212</v>
      </c>
      <c r="K889" t="s">
        <v>23</v>
      </c>
      <c r="L889" t="s">
        <v>24</v>
      </c>
      <c r="M889" t="str">
        <f t="shared" si="107"/>
        <v>1</v>
      </c>
      <c r="O889" t="str">
        <f t="shared" si="110"/>
        <v>1 </v>
      </c>
      <c r="P889">
        <v>105.8</v>
      </c>
      <c r="Q889" t="s">
        <v>25</v>
      </c>
    </row>
    <row r="890" spans="1:17" ht="12.75">
      <c r="A890" t="s">
        <v>17</v>
      </c>
      <c r="B890" t="s">
        <v>18</v>
      </c>
      <c r="C890" t="s">
        <v>1416</v>
      </c>
      <c r="D890" t="str">
        <f>CONCATENATE("0130007141","")</f>
        <v>0130007141</v>
      </c>
      <c r="E890" t="str">
        <f>CONCATENATE("0121145000320       ","")</f>
        <v>0121145000320       </v>
      </c>
      <c r="F890" t="str">
        <f>CONCATENATE("605119754","")</f>
        <v>605119754</v>
      </c>
      <c r="G890" t="s">
        <v>1810</v>
      </c>
      <c r="H890" t="s">
        <v>1813</v>
      </c>
      <c r="I890" t="s">
        <v>1814</v>
      </c>
      <c r="J890" t="str">
        <f t="shared" si="109"/>
        <v>081212</v>
      </c>
      <c r="K890" t="s">
        <v>23</v>
      </c>
      <c r="L890" t="s">
        <v>24</v>
      </c>
      <c r="M890" t="str">
        <f t="shared" si="107"/>
        <v>1</v>
      </c>
      <c r="O890" t="str">
        <f t="shared" si="110"/>
        <v>1 </v>
      </c>
      <c r="P890">
        <v>35.65</v>
      </c>
      <c r="Q890" t="s">
        <v>25</v>
      </c>
    </row>
    <row r="891" spans="1:17" ht="12.75">
      <c r="A891" t="s">
        <v>17</v>
      </c>
      <c r="B891" t="s">
        <v>18</v>
      </c>
      <c r="C891" t="s">
        <v>1416</v>
      </c>
      <c r="D891" t="str">
        <f>CONCATENATE("0130007179","")</f>
        <v>0130007179</v>
      </c>
      <c r="E891" t="str">
        <f>CONCATENATE("0121145000820       ","")</f>
        <v>0121145000820       </v>
      </c>
      <c r="F891" t="str">
        <f>CONCATENATE("605119742","")</f>
        <v>605119742</v>
      </c>
      <c r="G891" t="s">
        <v>1810</v>
      </c>
      <c r="H891" t="s">
        <v>1815</v>
      </c>
      <c r="I891" t="s">
        <v>1814</v>
      </c>
      <c r="J891" t="str">
        <f t="shared" si="109"/>
        <v>081212</v>
      </c>
      <c r="K891" t="s">
        <v>23</v>
      </c>
      <c r="L891" t="s">
        <v>24</v>
      </c>
      <c r="M891" t="str">
        <f t="shared" si="107"/>
        <v>1</v>
      </c>
      <c r="O891" t="str">
        <f t="shared" si="110"/>
        <v>1 </v>
      </c>
      <c r="P891">
        <v>57.95</v>
      </c>
      <c r="Q891" t="s">
        <v>25</v>
      </c>
    </row>
    <row r="892" spans="1:17" ht="12.75">
      <c r="A892" t="s">
        <v>17</v>
      </c>
      <c r="B892" t="s">
        <v>18</v>
      </c>
      <c r="C892" t="s">
        <v>1416</v>
      </c>
      <c r="D892" t="str">
        <f>CONCATENATE("0130007181","")</f>
        <v>0130007181</v>
      </c>
      <c r="E892" t="str">
        <f>CONCATENATE("0121145000840       ","")</f>
        <v>0121145000840       </v>
      </c>
      <c r="F892" t="str">
        <f>CONCATENATE("605119743","")</f>
        <v>605119743</v>
      </c>
      <c r="G892" t="s">
        <v>1810</v>
      </c>
      <c r="H892" t="s">
        <v>1816</v>
      </c>
      <c r="I892" t="s">
        <v>1814</v>
      </c>
      <c r="J892" t="str">
        <f t="shared" si="109"/>
        <v>081212</v>
      </c>
      <c r="K892" t="s">
        <v>23</v>
      </c>
      <c r="L892" t="s">
        <v>24</v>
      </c>
      <c r="M892" t="str">
        <f t="shared" si="107"/>
        <v>1</v>
      </c>
      <c r="O892" t="str">
        <f t="shared" si="110"/>
        <v>1 </v>
      </c>
      <c r="P892">
        <v>11.55</v>
      </c>
      <c r="Q892" t="s">
        <v>25</v>
      </c>
    </row>
    <row r="893" spans="1:17" ht="12.75">
      <c r="A893" t="s">
        <v>17</v>
      </c>
      <c r="B893" t="s">
        <v>18</v>
      </c>
      <c r="C893" t="s">
        <v>1416</v>
      </c>
      <c r="D893" t="str">
        <f>CONCATENATE("0130007182","")</f>
        <v>0130007182</v>
      </c>
      <c r="E893" t="str">
        <f>CONCATENATE("0121145000850       ","")</f>
        <v>0121145000850       </v>
      </c>
      <c r="F893" t="str">
        <f>CONCATENATE("0606030699","")</f>
        <v>0606030699</v>
      </c>
      <c r="G893" t="s">
        <v>1810</v>
      </c>
      <c r="H893" t="s">
        <v>1817</v>
      </c>
      <c r="I893" t="s">
        <v>1814</v>
      </c>
      <c r="J893" t="str">
        <f t="shared" si="109"/>
        <v>081212</v>
      </c>
      <c r="K893" t="s">
        <v>23</v>
      </c>
      <c r="L893" t="s">
        <v>24</v>
      </c>
      <c r="M893" t="str">
        <f t="shared" si="107"/>
        <v>1</v>
      </c>
      <c r="O893" t="str">
        <f t="shared" si="110"/>
        <v>1 </v>
      </c>
      <c r="P893">
        <v>75.2</v>
      </c>
      <c r="Q893" t="s">
        <v>25</v>
      </c>
    </row>
    <row r="894" spans="1:17" ht="12.75">
      <c r="A894" t="s">
        <v>17</v>
      </c>
      <c r="B894" t="s">
        <v>18</v>
      </c>
      <c r="C894" t="s">
        <v>1416</v>
      </c>
      <c r="D894" t="str">
        <f>CONCATENATE("0130016555","")</f>
        <v>0130016555</v>
      </c>
      <c r="E894" t="str">
        <f>CONCATENATE("0121145000895       ","")</f>
        <v>0121145000895       </v>
      </c>
      <c r="F894" t="str">
        <f>CONCATENATE("111056","")</f>
        <v>111056</v>
      </c>
      <c r="G894" t="s">
        <v>1810</v>
      </c>
      <c r="H894" t="s">
        <v>1818</v>
      </c>
      <c r="I894" t="s">
        <v>1758</v>
      </c>
      <c r="J894" t="str">
        <f t="shared" si="109"/>
        <v>081212</v>
      </c>
      <c r="K894" t="s">
        <v>23</v>
      </c>
      <c r="L894" t="s">
        <v>24</v>
      </c>
      <c r="M894" t="str">
        <f>CONCATENATE("3","")</f>
        <v>3</v>
      </c>
      <c r="O894" t="str">
        <f t="shared" si="110"/>
        <v>1 </v>
      </c>
      <c r="P894">
        <v>180.1</v>
      </c>
      <c r="Q894" t="s">
        <v>124</v>
      </c>
    </row>
    <row r="895" spans="1:17" ht="12.75">
      <c r="A895" t="s">
        <v>17</v>
      </c>
      <c r="B895" t="s">
        <v>18</v>
      </c>
      <c r="C895" t="s">
        <v>1416</v>
      </c>
      <c r="D895" t="str">
        <f>CONCATENATE("0040040832","")</f>
        <v>0040040832</v>
      </c>
      <c r="E895" t="str">
        <f>CONCATENATE("0121145001360       ","")</f>
        <v>0121145001360       </v>
      </c>
      <c r="F895" t="str">
        <f>CONCATENATE("606855640","")</f>
        <v>606855640</v>
      </c>
      <c r="G895" t="s">
        <v>1460</v>
      </c>
      <c r="H895" t="s">
        <v>1819</v>
      </c>
      <c r="I895" t="s">
        <v>1820</v>
      </c>
      <c r="J895" t="str">
        <f t="shared" si="109"/>
        <v>081212</v>
      </c>
      <c r="K895" t="s">
        <v>23</v>
      </c>
      <c r="L895" t="s">
        <v>24</v>
      </c>
      <c r="M895" t="str">
        <f aca="true" t="shared" si="111" ref="M895:M926">CONCATENATE("1","")</f>
        <v>1</v>
      </c>
      <c r="O895" t="str">
        <f t="shared" si="110"/>
        <v>1 </v>
      </c>
      <c r="P895">
        <v>83.8</v>
      </c>
      <c r="Q895" t="s">
        <v>25</v>
      </c>
    </row>
    <row r="896" spans="1:17" ht="12.75">
      <c r="A896" t="s">
        <v>17</v>
      </c>
      <c r="B896" t="s">
        <v>18</v>
      </c>
      <c r="C896" t="s">
        <v>1416</v>
      </c>
      <c r="D896" t="str">
        <f>CONCATENATE("0130007219","")</f>
        <v>0130007219</v>
      </c>
      <c r="E896" t="str">
        <f>CONCATENATE("0121145001450       ","")</f>
        <v>0121145001450       </v>
      </c>
      <c r="F896" t="str">
        <f>CONCATENATE("605119730","")</f>
        <v>605119730</v>
      </c>
      <c r="G896" t="s">
        <v>1810</v>
      </c>
      <c r="H896" t="s">
        <v>1821</v>
      </c>
      <c r="I896" t="s">
        <v>1814</v>
      </c>
      <c r="J896" t="str">
        <f t="shared" si="109"/>
        <v>081212</v>
      </c>
      <c r="K896" t="s">
        <v>23</v>
      </c>
      <c r="L896" t="s">
        <v>24</v>
      </c>
      <c r="M896" t="str">
        <f t="shared" si="111"/>
        <v>1</v>
      </c>
      <c r="O896" t="str">
        <f t="shared" si="110"/>
        <v>1 </v>
      </c>
      <c r="P896">
        <v>43.5</v>
      </c>
      <c r="Q896" t="s">
        <v>25</v>
      </c>
    </row>
    <row r="897" spans="1:17" ht="12.75">
      <c r="A897" t="s">
        <v>17</v>
      </c>
      <c r="B897" t="s">
        <v>18</v>
      </c>
      <c r="C897" t="s">
        <v>1416</v>
      </c>
      <c r="D897" t="str">
        <f>CONCATENATE("0130016950","")</f>
        <v>0130016950</v>
      </c>
      <c r="E897" t="str">
        <f>CONCATENATE("0121150002120       ","")</f>
        <v>0121150002120       </v>
      </c>
      <c r="F897" t="str">
        <f>CONCATENATE("605620915","")</f>
        <v>605620915</v>
      </c>
      <c r="G897" t="s">
        <v>1822</v>
      </c>
      <c r="H897" t="s">
        <v>1823</v>
      </c>
      <c r="I897" t="s">
        <v>1824</v>
      </c>
      <c r="J897" t="str">
        <f t="shared" si="109"/>
        <v>081212</v>
      </c>
      <c r="K897" t="s">
        <v>23</v>
      </c>
      <c r="L897" t="s">
        <v>24</v>
      </c>
      <c r="M897" t="str">
        <f t="shared" si="111"/>
        <v>1</v>
      </c>
      <c r="O897" t="str">
        <f>CONCATENATE("7 ","")</f>
        <v>7 </v>
      </c>
      <c r="P897">
        <v>47.05</v>
      </c>
      <c r="Q897" t="s">
        <v>25</v>
      </c>
    </row>
    <row r="898" spans="1:17" ht="12.75">
      <c r="A898" t="s">
        <v>17</v>
      </c>
      <c r="B898" t="s">
        <v>18</v>
      </c>
      <c r="C898" t="s">
        <v>1416</v>
      </c>
      <c r="D898" t="str">
        <f>CONCATENATE("0040032774","")</f>
        <v>0040032774</v>
      </c>
      <c r="E898" t="str">
        <f>CONCATENATE("0121160001000       ","")</f>
        <v>0121160001000       </v>
      </c>
      <c r="F898" t="str">
        <f>CONCATENATE("606095179","")</f>
        <v>606095179</v>
      </c>
      <c r="G898" t="s">
        <v>1696</v>
      </c>
      <c r="H898" t="s">
        <v>1825</v>
      </c>
      <c r="I898" t="s">
        <v>1826</v>
      </c>
      <c r="J898" t="str">
        <f t="shared" si="109"/>
        <v>081212</v>
      </c>
      <c r="K898" t="s">
        <v>23</v>
      </c>
      <c r="L898" t="s">
        <v>24</v>
      </c>
      <c r="M898" t="str">
        <f t="shared" si="111"/>
        <v>1</v>
      </c>
      <c r="O898" t="str">
        <f aca="true" t="shared" si="112" ref="O898:O905">CONCATENATE("1 ","")</f>
        <v>1 </v>
      </c>
      <c r="P898">
        <v>16.4</v>
      </c>
      <c r="Q898" t="s">
        <v>25</v>
      </c>
    </row>
    <row r="899" spans="1:17" ht="12.75">
      <c r="A899" t="s">
        <v>17</v>
      </c>
      <c r="B899" t="s">
        <v>18</v>
      </c>
      <c r="C899" t="s">
        <v>1416</v>
      </c>
      <c r="D899" t="str">
        <f>CONCATENATE("0040032776","")</f>
        <v>0040032776</v>
      </c>
      <c r="E899" t="str">
        <f>CONCATENATE("0121160001010       ","")</f>
        <v>0121160001010       </v>
      </c>
      <c r="F899" t="str">
        <f>CONCATENATE("606095190","")</f>
        <v>606095190</v>
      </c>
      <c r="G899" t="s">
        <v>1827</v>
      </c>
      <c r="H899" t="s">
        <v>1828</v>
      </c>
      <c r="I899" t="s">
        <v>1826</v>
      </c>
      <c r="J899" t="str">
        <f t="shared" si="109"/>
        <v>081212</v>
      </c>
      <c r="K899" t="s">
        <v>23</v>
      </c>
      <c r="L899" t="s">
        <v>24</v>
      </c>
      <c r="M899" t="str">
        <f t="shared" si="111"/>
        <v>1</v>
      </c>
      <c r="O899" t="str">
        <f t="shared" si="112"/>
        <v>1 </v>
      </c>
      <c r="P899">
        <v>19.65</v>
      </c>
      <c r="Q899" t="s">
        <v>25</v>
      </c>
    </row>
    <row r="900" spans="1:17" ht="12.75">
      <c r="A900" t="s">
        <v>17</v>
      </c>
      <c r="B900" t="s">
        <v>18</v>
      </c>
      <c r="C900" t="s">
        <v>1416</v>
      </c>
      <c r="D900" t="str">
        <f>CONCATENATE("0040032779","")</f>
        <v>0040032779</v>
      </c>
      <c r="E900" t="str">
        <f>CONCATENATE("0121160001060       ","")</f>
        <v>0121160001060       </v>
      </c>
      <c r="F900" t="str">
        <f>CONCATENATE("606095167","")</f>
        <v>606095167</v>
      </c>
      <c r="G900" t="s">
        <v>1827</v>
      </c>
      <c r="H900" t="s">
        <v>1829</v>
      </c>
      <c r="I900" t="s">
        <v>1826</v>
      </c>
      <c r="J900" t="str">
        <f t="shared" si="109"/>
        <v>081212</v>
      </c>
      <c r="K900" t="s">
        <v>23</v>
      </c>
      <c r="L900" t="s">
        <v>24</v>
      </c>
      <c r="M900" t="str">
        <f t="shared" si="111"/>
        <v>1</v>
      </c>
      <c r="O900" t="str">
        <f t="shared" si="112"/>
        <v>1 </v>
      </c>
      <c r="P900">
        <v>26.6</v>
      </c>
      <c r="Q900" t="s">
        <v>25</v>
      </c>
    </row>
    <row r="901" spans="1:17" ht="12.75">
      <c r="A901" t="s">
        <v>17</v>
      </c>
      <c r="B901" t="s">
        <v>18</v>
      </c>
      <c r="C901" t="s">
        <v>1416</v>
      </c>
      <c r="D901" t="str">
        <f>CONCATENATE("0040032767","")</f>
        <v>0040032767</v>
      </c>
      <c r="E901" t="str">
        <f>CONCATENATE("0121160002030       ","")</f>
        <v>0121160002030       </v>
      </c>
      <c r="F901" t="str">
        <f>CONCATENATE("606143768","")</f>
        <v>606143768</v>
      </c>
      <c r="G901" t="s">
        <v>1696</v>
      </c>
      <c r="H901" t="s">
        <v>1830</v>
      </c>
      <c r="I901" t="s">
        <v>1826</v>
      </c>
      <c r="J901" t="str">
        <f t="shared" si="109"/>
        <v>081212</v>
      </c>
      <c r="K901" t="s">
        <v>23</v>
      </c>
      <c r="L901" t="s">
        <v>24</v>
      </c>
      <c r="M901" t="str">
        <f t="shared" si="111"/>
        <v>1</v>
      </c>
      <c r="O901" t="str">
        <f t="shared" si="112"/>
        <v>1 </v>
      </c>
      <c r="P901">
        <v>16.4</v>
      </c>
      <c r="Q901" t="s">
        <v>25</v>
      </c>
    </row>
    <row r="902" spans="1:17" ht="12.75">
      <c r="A902" t="s">
        <v>17</v>
      </c>
      <c r="B902" t="s">
        <v>18</v>
      </c>
      <c r="C902" t="s">
        <v>1416</v>
      </c>
      <c r="D902" t="str">
        <f>CONCATENATE("0040032758","")</f>
        <v>0040032758</v>
      </c>
      <c r="E902" t="str">
        <f>CONCATENATE("0121160002340       ","")</f>
        <v>0121160002340       </v>
      </c>
      <c r="F902" t="str">
        <f>CONCATENATE("606095161","")</f>
        <v>606095161</v>
      </c>
      <c r="G902" t="s">
        <v>1696</v>
      </c>
      <c r="H902" t="s">
        <v>1632</v>
      </c>
      <c r="I902" t="s">
        <v>1826</v>
      </c>
      <c r="J902" t="str">
        <f t="shared" si="109"/>
        <v>081212</v>
      </c>
      <c r="K902" t="s">
        <v>23</v>
      </c>
      <c r="L902" t="s">
        <v>24</v>
      </c>
      <c r="M902" t="str">
        <f t="shared" si="111"/>
        <v>1</v>
      </c>
      <c r="O902" t="str">
        <f t="shared" si="112"/>
        <v>1 </v>
      </c>
      <c r="P902">
        <v>19.25</v>
      </c>
      <c r="Q902" t="s">
        <v>25</v>
      </c>
    </row>
    <row r="903" spans="1:17" ht="12.75">
      <c r="A903" t="s">
        <v>17</v>
      </c>
      <c r="B903" t="s">
        <v>18</v>
      </c>
      <c r="C903" t="s">
        <v>1416</v>
      </c>
      <c r="D903" t="str">
        <f>CONCATENATE("0040032761","")</f>
        <v>0040032761</v>
      </c>
      <c r="E903" t="str">
        <f>CONCATENATE("0121160002350       ","")</f>
        <v>0121160002350       </v>
      </c>
      <c r="F903" t="str">
        <f>CONCATENATE("606095166","")</f>
        <v>606095166</v>
      </c>
      <c r="G903" t="s">
        <v>1696</v>
      </c>
      <c r="H903" t="s">
        <v>1831</v>
      </c>
      <c r="I903" t="s">
        <v>1826</v>
      </c>
      <c r="J903" t="str">
        <f t="shared" si="109"/>
        <v>081212</v>
      </c>
      <c r="K903" t="s">
        <v>23</v>
      </c>
      <c r="L903" t="s">
        <v>24</v>
      </c>
      <c r="M903" t="str">
        <f t="shared" si="111"/>
        <v>1</v>
      </c>
      <c r="O903" t="str">
        <f t="shared" si="112"/>
        <v>1 </v>
      </c>
      <c r="P903">
        <v>18.45</v>
      </c>
      <c r="Q903" t="s">
        <v>25</v>
      </c>
    </row>
    <row r="904" spans="1:17" ht="12.75">
      <c r="A904" t="s">
        <v>17</v>
      </c>
      <c r="B904" t="s">
        <v>18</v>
      </c>
      <c r="C904" t="s">
        <v>1416</v>
      </c>
      <c r="D904" t="str">
        <f>CONCATENATE("0040032763","")</f>
        <v>0040032763</v>
      </c>
      <c r="E904" t="str">
        <f>CONCATENATE("0121160002400       ","")</f>
        <v>0121160002400       </v>
      </c>
      <c r="F904" t="str">
        <f>CONCATENATE("606095550","")</f>
        <v>606095550</v>
      </c>
      <c r="G904" t="s">
        <v>1696</v>
      </c>
      <c r="H904" t="s">
        <v>1832</v>
      </c>
      <c r="I904" t="s">
        <v>1826</v>
      </c>
      <c r="J904" t="str">
        <f t="shared" si="109"/>
        <v>081212</v>
      </c>
      <c r="K904" t="s">
        <v>23</v>
      </c>
      <c r="L904" t="s">
        <v>24</v>
      </c>
      <c r="M904" t="str">
        <f t="shared" si="111"/>
        <v>1</v>
      </c>
      <c r="O904" t="str">
        <f t="shared" si="112"/>
        <v>1 </v>
      </c>
      <c r="P904">
        <v>29.85</v>
      </c>
      <c r="Q904" t="s">
        <v>25</v>
      </c>
    </row>
    <row r="905" spans="1:17" ht="12.75">
      <c r="A905" t="s">
        <v>17</v>
      </c>
      <c r="B905" t="s">
        <v>18</v>
      </c>
      <c r="C905" t="s">
        <v>530</v>
      </c>
      <c r="D905" t="str">
        <f>CONCATENATE("0040025883","")</f>
        <v>0040025883</v>
      </c>
      <c r="E905" t="str">
        <f>CONCATENATE("0500201000040       ","")</f>
        <v>0500201000040       </v>
      </c>
      <c r="F905" t="str">
        <f>CONCATENATE("983072100997","")</f>
        <v>983072100997</v>
      </c>
      <c r="G905" t="s">
        <v>1833</v>
      </c>
      <c r="H905" t="s">
        <v>1834</v>
      </c>
      <c r="I905" t="s">
        <v>1835</v>
      </c>
      <c r="J905" t="str">
        <f>CONCATENATE("080507","")</f>
        <v>080507</v>
      </c>
      <c r="K905" t="s">
        <v>23</v>
      </c>
      <c r="L905" t="s">
        <v>24</v>
      </c>
      <c r="M905" t="str">
        <f t="shared" si="111"/>
        <v>1</v>
      </c>
      <c r="O905" t="str">
        <f t="shared" si="112"/>
        <v>1 </v>
      </c>
      <c r="P905">
        <v>14.05</v>
      </c>
      <c r="Q905" t="s">
        <v>25</v>
      </c>
    </row>
    <row r="906" spans="1:17" ht="12.75">
      <c r="A906" t="s">
        <v>17</v>
      </c>
      <c r="B906" t="s">
        <v>18</v>
      </c>
      <c r="C906" t="s">
        <v>530</v>
      </c>
      <c r="D906" t="str">
        <f>CONCATENATE("0040025887","")</f>
        <v>0040025887</v>
      </c>
      <c r="E906" t="str">
        <f>CONCATENATE("0500201000070       ","")</f>
        <v>0500201000070       </v>
      </c>
      <c r="F906" t="str">
        <f>CONCATENATE("983072100931","")</f>
        <v>983072100931</v>
      </c>
      <c r="G906" t="s">
        <v>1833</v>
      </c>
      <c r="H906" t="s">
        <v>1836</v>
      </c>
      <c r="I906" t="s">
        <v>1835</v>
      </c>
      <c r="J906" t="str">
        <f>CONCATENATE("080507","")</f>
        <v>080507</v>
      </c>
      <c r="K906" t="s">
        <v>23</v>
      </c>
      <c r="L906" t="s">
        <v>24</v>
      </c>
      <c r="M906" t="str">
        <f t="shared" si="111"/>
        <v>1</v>
      </c>
      <c r="O906" t="str">
        <f>CONCATENATE("5 ","")</f>
        <v>5 </v>
      </c>
      <c r="P906">
        <v>39.5</v>
      </c>
      <c r="Q906" t="s">
        <v>25</v>
      </c>
    </row>
    <row r="907" spans="1:17" ht="12.75">
      <c r="A907" t="s">
        <v>17</v>
      </c>
      <c r="B907" t="s">
        <v>18</v>
      </c>
      <c r="C907" t="s">
        <v>530</v>
      </c>
      <c r="D907" t="str">
        <f>CONCATENATE("0040025882","")</f>
        <v>0040025882</v>
      </c>
      <c r="E907" t="str">
        <f>CONCATENATE("0500201000130       ","")</f>
        <v>0500201000130       </v>
      </c>
      <c r="F907" t="str">
        <f>CONCATENATE("983072100931","")</f>
        <v>983072100931</v>
      </c>
      <c r="G907" t="s">
        <v>1833</v>
      </c>
      <c r="H907" t="s">
        <v>1837</v>
      </c>
      <c r="I907" t="s">
        <v>1835</v>
      </c>
      <c r="J907" t="str">
        <f>CONCATENATE("080507","")</f>
        <v>080507</v>
      </c>
      <c r="K907" t="s">
        <v>23</v>
      </c>
      <c r="L907" t="s">
        <v>24</v>
      </c>
      <c r="M907" t="str">
        <f t="shared" si="111"/>
        <v>1</v>
      </c>
      <c r="O907" t="str">
        <f>CONCATENATE("1 ","")</f>
        <v>1 </v>
      </c>
      <c r="P907">
        <v>13</v>
      </c>
      <c r="Q907" t="s">
        <v>25</v>
      </c>
    </row>
    <row r="908" spans="1:17" ht="12.75">
      <c r="A908" t="s">
        <v>17</v>
      </c>
      <c r="B908" t="s">
        <v>18</v>
      </c>
      <c r="C908" t="s">
        <v>593</v>
      </c>
      <c r="D908" t="str">
        <f>CONCATENATE("0040040582","")</f>
        <v>0040040582</v>
      </c>
      <c r="E908" t="str">
        <f>CONCATENATE("0500201000200       ","")</f>
        <v>0500201000200       </v>
      </c>
      <c r="F908" t="str">
        <f>CONCATENATE("983072100924","")</f>
        <v>983072100924</v>
      </c>
      <c r="G908" t="s">
        <v>1838</v>
      </c>
      <c r="H908" t="s">
        <v>1839</v>
      </c>
      <c r="I908" t="s">
        <v>1840</v>
      </c>
      <c r="J908" t="str">
        <f>CONCATENATE("080502","")</f>
        <v>080502</v>
      </c>
      <c r="K908" t="s">
        <v>23</v>
      </c>
      <c r="L908" t="s">
        <v>24</v>
      </c>
      <c r="M908" t="str">
        <f t="shared" si="111"/>
        <v>1</v>
      </c>
      <c r="O908" t="str">
        <f>CONCATENATE("2 ","")</f>
        <v>2 </v>
      </c>
      <c r="P908">
        <v>19.45</v>
      </c>
      <c r="Q908" t="s">
        <v>25</v>
      </c>
    </row>
    <row r="909" spans="1:17" ht="12.75">
      <c r="A909" t="s">
        <v>17</v>
      </c>
      <c r="B909" t="s">
        <v>18</v>
      </c>
      <c r="C909" t="s">
        <v>530</v>
      </c>
      <c r="D909" t="str">
        <f>CONCATENATE("0040025742","")</f>
        <v>0040025742</v>
      </c>
      <c r="E909" t="str">
        <f>CONCATENATE("0500202000170       ","")</f>
        <v>0500202000170       </v>
      </c>
      <c r="F909" t="str">
        <f>CONCATENATE("983072100991","")</f>
        <v>983072100991</v>
      </c>
      <c r="G909" t="s">
        <v>1841</v>
      </c>
      <c r="H909" t="s">
        <v>1842</v>
      </c>
      <c r="I909" t="s">
        <v>1843</v>
      </c>
      <c r="J909" t="str">
        <f aca="true" t="shared" si="113" ref="J909:J944">CONCATENATE("080507","")</f>
        <v>080507</v>
      </c>
      <c r="K909" t="s">
        <v>23</v>
      </c>
      <c r="L909" t="s">
        <v>24</v>
      </c>
      <c r="M909" t="str">
        <f t="shared" si="111"/>
        <v>1</v>
      </c>
      <c r="O909" t="str">
        <f aca="true" t="shared" si="114" ref="O909:O919">CONCATENATE("1 ","")</f>
        <v>1 </v>
      </c>
      <c r="P909">
        <v>45</v>
      </c>
      <c r="Q909" t="s">
        <v>25</v>
      </c>
    </row>
    <row r="910" spans="1:17" ht="12.75">
      <c r="A910" t="s">
        <v>17</v>
      </c>
      <c r="B910" t="s">
        <v>18</v>
      </c>
      <c r="C910" t="s">
        <v>530</v>
      </c>
      <c r="D910" t="str">
        <f>CONCATENATE("0040025744","")</f>
        <v>0040025744</v>
      </c>
      <c r="E910" t="str">
        <f>CONCATENATE("0500202000200       ","")</f>
        <v>0500202000200       </v>
      </c>
      <c r="F910" t="str">
        <f>CONCATENATE("983072100997","")</f>
        <v>983072100997</v>
      </c>
      <c r="G910" t="s">
        <v>1841</v>
      </c>
      <c r="H910" t="s">
        <v>1844</v>
      </c>
      <c r="I910" t="s">
        <v>1843</v>
      </c>
      <c r="J910" t="str">
        <f t="shared" si="113"/>
        <v>080507</v>
      </c>
      <c r="K910" t="s">
        <v>23</v>
      </c>
      <c r="L910" t="s">
        <v>24</v>
      </c>
      <c r="M910" t="str">
        <f t="shared" si="111"/>
        <v>1</v>
      </c>
      <c r="O910" t="str">
        <f t="shared" si="114"/>
        <v>1 </v>
      </c>
      <c r="P910">
        <v>13.1</v>
      </c>
      <c r="Q910" t="s">
        <v>25</v>
      </c>
    </row>
    <row r="911" spans="1:17" ht="12.75">
      <c r="A911" t="s">
        <v>17</v>
      </c>
      <c r="B911" t="s">
        <v>18</v>
      </c>
      <c r="C911" t="s">
        <v>530</v>
      </c>
      <c r="D911" t="str">
        <f>CONCATENATE("0040025821","")</f>
        <v>0040025821</v>
      </c>
      <c r="E911" t="str">
        <f>CONCATENATE("0500210000070       ","")</f>
        <v>0500210000070       </v>
      </c>
      <c r="F911" t="str">
        <f>CONCATENATE("983072100992","")</f>
        <v>983072100992</v>
      </c>
      <c r="G911" t="s">
        <v>1845</v>
      </c>
      <c r="H911" t="s">
        <v>1846</v>
      </c>
      <c r="I911" t="s">
        <v>1847</v>
      </c>
      <c r="J911" t="str">
        <f t="shared" si="113"/>
        <v>080507</v>
      </c>
      <c r="K911" t="s">
        <v>23</v>
      </c>
      <c r="L911" t="s">
        <v>24</v>
      </c>
      <c r="M911" t="str">
        <f t="shared" si="111"/>
        <v>1</v>
      </c>
      <c r="O911" t="str">
        <f t="shared" si="114"/>
        <v>1 </v>
      </c>
      <c r="P911">
        <v>22.5</v>
      </c>
      <c r="Q911" t="s">
        <v>25</v>
      </c>
    </row>
    <row r="912" spans="1:17" ht="12.75">
      <c r="A912" t="s">
        <v>17</v>
      </c>
      <c r="B912" t="s">
        <v>18</v>
      </c>
      <c r="C912" t="s">
        <v>530</v>
      </c>
      <c r="D912" t="str">
        <f>CONCATENATE("0040025829","")</f>
        <v>0040025829</v>
      </c>
      <c r="E912" t="str">
        <f>CONCATENATE("0500210000090       ","")</f>
        <v>0500210000090       </v>
      </c>
      <c r="F912" t="str">
        <f>CONCATENATE("983072100929","")</f>
        <v>983072100929</v>
      </c>
      <c r="G912" t="s">
        <v>1845</v>
      </c>
      <c r="H912" t="s">
        <v>1848</v>
      </c>
      <c r="I912" t="s">
        <v>1847</v>
      </c>
      <c r="J912" t="str">
        <f t="shared" si="113"/>
        <v>080507</v>
      </c>
      <c r="K912" t="s">
        <v>23</v>
      </c>
      <c r="L912" t="s">
        <v>24</v>
      </c>
      <c r="M912" t="str">
        <f t="shared" si="111"/>
        <v>1</v>
      </c>
      <c r="O912" t="str">
        <f t="shared" si="114"/>
        <v>1 </v>
      </c>
      <c r="P912">
        <v>12.95</v>
      </c>
      <c r="Q912" t="s">
        <v>25</v>
      </c>
    </row>
    <row r="913" spans="1:17" ht="12.75">
      <c r="A913" t="s">
        <v>17</v>
      </c>
      <c r="B913" t="s">
        <v>18</v>
      </c>
      <c r="C913" t="s">
        <v>530</v>
      </c>
      <c r="D913" t="str">
        <f>CONCATENATE("0040025819","")</f>
        <v>0040025819</v>
      </c>
      <c r="E913" t="str">
        <f>CONCATENATE("0500210000210       ","")</f>
        <v>0500210000210       </v>
      </c>
      <c r="F913" t="str">
        <f>CONCATENATE("983072101001","")</f>
        <v>983072101001</v>
      </c>
      <c r="G913" t="s">
        <v>1845</v>
      </c>
      <c r="H913" t="s">
        <v>1849</v>
      </c>
      <c r="I913" t="s">
        <v>1847</v>
      </c>
      <c r="J913" t="str">
        <f t="shared" si="113"/>
        <v>080507</v>
      </c>
      <c r="K913" t="s">
        <v>23</v>
      </c>
      <c r="L913" t="s">
        <v>24</v>
      </c>
      <c r="M913" t="str">
        <f t="shared" si="111"/>
        <v>1</v>
      </c>
      <c r="O913" t="str">
        <f t="shared" si="114"/>
        <v>1 </v>
      </c>
      <c r="P913">
        <v>15.85</v>
      </c>
      <c r="Q913" t="s">
        <v>25</v>
      </c>
    </row>
    <row r="914" spans="1:17" ht="12.75">
      <c r="A914" t="s">
        <v>17</v>
      </c>
      <c r="B914" t="s">
        <v>18</v>
      </c>
      <c r="C914" t="s">
        <v>530</v>
      </c>
      <c r="D914" t="str">
        <f>CONCATENATE("0040025807","")</f>
        <v>0040025807</v>
      </c>
      <c r="E914" t="str">
        <f>CONCATENATE("0500210000270       ","")</f>
        <v>0500210000270       </v>
      </c>
      <c r="F914" t="str">
        <f>CONCATENATE("983072100930","")</f>
        <v>983072100930</v>
      </c>
      <c r="G914" t="s">
        <v>1845</v>
      </c>
      <c r="H914" t="s">
        <v>1850</v>
      </c>
      <c r="I914" t="s">
        <v>1847</v>
      </c>
      <c r="J914" t="str">
        <f t="shared" si="113"/>
        <v>080507</v>
      </c>
      <c r="K914" t="s">
        <v>23</v>
      </c>
      <c r="L914" t="s">
        <v>24</v>
      </c>
      <c r="M914" t="str">
        <f t="shared" si="111"/>
        <v>1</v>
      </c>
      <c r="O914" t="str">
        <f t="shared" si="114"/>
        <v>1 </v>
      </c>
      <c r="P914">
        <v>19.8</v>
      </c>
      <c r="Q914" t="s">
        <v>25</v>
      </c>
    </row>
    <row r="915" spans="1:17" ht="12.75">
      <c r="A915" t="s">
        <v>17</v>
      </c>
      <c r="B915" t="s">
        <v>18</v>
      </c>
      <c r="C915" t="s">
        <v>530</v>
      </c>
      <c r="D915" t="str">
        <f>CONCATENATE("0040025802","")</f>
        <v>0040025802</v>
      </c>
      <c r="E915" t="str">
        <f>CONCATENATE("0500210000360       ","")</f>
        <v>0500210000360       </v>
      </c>
      <c r="F915" t="str">
        <f>CONCATENATE("983072100999","")</f>
        <v>983072100999</v>
      </c>
      <c r="G915" t="s">
        <v>1845</v>
      </c>
      <c r="H915" t="s">
        <v>1851</v>
      </c>
      <c r="I915" t="s">
        <v>1847</v>
      </c>
      <c r="J915" t="str">
        <f t="shared" si="113"/>
        <v>080507</v>
      </c>
      <c r="K915" t="s">
        <v>23</v>
      </c>
      <c r="L915" t="s">
        <v>24</v>
      </c>
      <c r="M915" t="str">
        <f t="shared" si="111"/>
        <v>1</v>
      </c>
      <c r="O915" t="str">
        <f t="shared" si="114"/>
        <v>1 </v>
      </c>
      <c r="P915">
        <v>15.8</v>
      </c>
      <c r="Q915" t="s">
        <v>25</v>
      </c>
    </row>
    <row r="916" spans="1:17" ht="12.75">
      <c r="A916" t="s">
        <v>17</v>
      </c>
      <c r="B916" t="s">
        <v>18</v>
      </c>
      <c r="C916" t="s">
        <v>530</v>
      </c>
      <c r="D916" t="str">
        <f>CONCATENATE("0040025800","")</f>
        <v>0040025800</v>
      </c>
      <c r="E916" t="str">
        <f>CONCATENATE("0500210000370       ","")</f>
        <v>0500210000370       </v>
      </c>
      <c r="F916" t="str">
        <f>CONCATENATE("983072100992","")</f>
        <v>983072100992</v>
      </c>
      <c r="G916" t="s">
        <v>1845</v>
      </c>
      <c r="H916" t="s">
        <v>1852</v>
      </c>
      <c r="I916" t="s">
        <v>1847</v>
      </c>
      <c r="J916" t="str">
        <f t="shared" si="113"/>
        <v>080507</v>
      </c>
      <c r="K916" t="s">
        <v>23</v>
      </c>
      <c r="L916" t="s">
        <v>24</v>
      </c>
      <c r="M916" t="str">
        <f t="shared" si="111"/>
        <v>1</v>
      </c>
      <c r="O916" t="str">
        <f t="shared" si="114"/>
        <v>1 </v>
      </c>
      <c r="P916">
        <v>18.75</v>
      </c>
      <c r="Q916" t="s">
        <v>25</v>
      </c>
    </row>
    <row r="917" spans="1:17" ht="12.75">
      <c r="A917" t="s">
        <v>17</v>
      </c>
      <c r="B917" t="s">
        <v>18</v>
      </c>
      <c r="C917" t="s">
        <v>530</v>
      </c>
      <c r="D917" t="str">
        <f>CONCATENATE("0040025899","")</f>
        <v>0040025899</v>
      </c>
      <c r="E917" t="str">
        <f>CONCATENATE("0500211000020       ","")</f>
        <v>0500211000020       </v>
      </c>
      <c r="F917" t="str">
        <f>CONCATENATE("983072100930","")</f>
        <v>983072100930</v>
      </c>
      <c r="G917" t="s">
        <v>1853</v>
      </c>
      <c r="H917" t="s">
        <v>1854</v>
      </c>
      <c r="I917" t="s">
        <v>1855</v>
      </c>
      <c r="J917" t="str">
        <f t="shared" si="113"/>
        <v>080507</v>
      </c>
      <c r="K917" t="s">
        <v>23</v>
      </c>
      <c r="L917" t="s">
        <v>24</v>
      </c>
      <c r="M917" t="str">
        <f t="shared" si="111"/>
        <v>1</v>
      </c>
      <c r="O917" t="str">
        <f t="shared" si="114"/>
        <v>1 </v>
      </c>
      <c r="P917">
        <v>13</v>
      </c>
      <c r="Q917" t="s">
        <v>25</v>
      </c>
    </row>
    <row r="918" spans="1:17" ht="12.75">
      <c r="A918" t="s">
        <v>17</v>
      </c>
      <c r="B918" t="s">
        <v>18</v>
      </c>
      <c r="C918" t="s">
        <v>530</v>
      </c>
      <c r="D918" t="str">
        <f>CONCATENATE("0040025902","")</f>
        <v>0040025902</v>
      </c>
      <c r="E918" t="str">
        <f>CONCATENATE("0500211000050       ","")</f>
        <v>0500211000050       </v>
      </c>
      <c r="F918" t="str">
        <f>CONCATENATE("983072100929","")</f>
        <v>983072100929</v>
      </c>
      <c r="G918" t="s">
        <v>1853</v>
      </c>
      <c r="H918" t="s">
        <v>1856</v>
      </c>
      <c r="I918" t="s">
        <v>1855</v>
      </c>
      <c r="J918" t="str">
        <f t="shared" si="113"/>
        <v>080507</v>
      </c>
      <c r="K918" t="s">
        <v>23</v>
      </c>
      <c r="L918" t="s">
        <v>24</v>
      </c>
      <c r="M918" t="str">
        <f t="shared" si="111"/>
        <v>1</v>
      </c>
      <c r="O918" t="str">
        <f t="shared" si="114"/>
        <v>1 </v>
      </c>
      <c r="P918">
        <v>13.6</v>
      </c>
      <c r="Q918" t="s">
        <v>25</v>
      </c>
    </row>
    <row r="919" spans="1:17" ht="12.75">
      <c r="A919" t="s">
        <v>17</v>
      </c>
      <c r="B919" t="s">
        <v>18</v>
      </c>
      <c r="C919" t="s">
        <v>530</v>
      </c>
      <c r="D919" t="str">
        <f>CONCATENATE("0040025889","")</f>
        <v>0040025889</v>
      </c>
      <c r="E919" t="str">
        <f>CONCATENATE("0500211000130       ","")</f>
        <v>0500211000130       </v>
      </c>
      <c r="F919" t="str">
        <f>CONCATENATE("983072100930","")</f>
        <v>983072100930</v>
      </c>
      <c r="G919" t="s">
        <v>1853</v>
      </c>
      <c r="H919" t="s">
        <v>1857</v>
      </c>
      <c r="I919" t="s">
        <v>1855</v>
      </c>
      <c r="J919" t="str">
        <f t="shared" si="113"/>
        <v>080507</v>
      </c>
      <c r="K919" t="s">
        <v>23</v>
      </c>
      <c r="L919" t="s">
        <v>24</v>
      </c>
      <c r="M919" t="str">
        <f t="shared" si="111"/>
        <v>1</v>
      </c>
      <c r="O919" t="str">
        <f t="shared" si="114"/>
        <v>1 </v>
      </c>
      <c r="P919">
        <v>13.75</v>
      </c>
      <c r="Q919" t="s">
        <v>25</v>
      </c>
    </row>
    <row r="920" spans="1:17" ht="12.75">
      <c r="A920" t="s">
        <v>17</v>
      </c>
      <c r="B920" t="s">
        <v>18</v>
      </c>
      <c r="C920" t="s">
        <v>530</v>
      </c>
      <c r="D920" t="str">
        <f>CONCATENATE("0040025912","")</f>
        <v>0040025912</v>
      </c>
      <c r="E920" t="str">
        <f>CONCATENATE("0500211000170       ","")</f>
        <v>0500211000170       </v>
      </c>
      <c r="F920" t="str">
        <f>CONCATENATE("983072100923","")</f>
        <v>983072100923</v>
      </c>
      <c r="G920" t="s">
        <v>1853</v>
      </c>
      <c r="H920" t="s">
        <v>1858</v>
      </c>
      <c r="I920" t="s">
        <v>1855</v>
      </c>
      <c r="J920" t="str">
        <f t="shared" si="113"/>
        <v>080507</v>
      </c>
      <c r="K920" t="s">
        <v>23</v>
      </c>
      <c r="L920" t="s">
        <v>24</v>
      </c>
      <c r="M920" t="str">
        <f t="shared" si="111"/>
        <v>1</v>
      </c>
      <c r="O920" t="str">
        <f>CONCATENATE("2 ","")</f>
        <v>2 </v>
      </c>
      <c r="P920">
        <v>38.3</v>
      </c>
      <c r="Q920" t="s">
        <v>25</v>
      </c>
    </row>
    <row r="921" spans="1:17" ht="12.75">
      <c r="A921" t="s">
        <v>17</v>
      </c>
      <c r="B921" t="s">
        <v>18</v>
      </c>
      <c r="C921" t="s">
        <v>530</v>
      </c>
      <c r="D921" t="str">
        <f>CONCATENATE("0040025913","")</f>
        <v>0040025913</v>
      </c>
      <c r="E921" t="str">
        <f>CONCATENATE("0500211000180       ","")</f>
        <v>0500211000180       </v>
      </c>
      <c r="F921" t="str">
        <f>CONCATENATE("983072100923","")</f>
        <v>983072100923</v>
      </c>
      <c r="G921" t="s">
        <v>1853</v>
      </c>
      <c r="H921" t="s">
        <v>1859</v>
      </c>
      <c r="I921" t="s">
        <v>1855</v>
      </c>
      <c r="J921" t="str">
        <f t="shared" si="113"/>
        <v>080507</v>
      </c>
      <c r="K921" t="s">
        <v>23</v>
      </c>
      <c r="L921" t="s">
        <v>24</v>
      </c>
      <c r="M921" t="str">
        <f t="shared" si="111"/>
        <v>1</v>
      </c>
      <c r="O921" t="str">
        <f>CONCATENATE("3 ","")</f>
        <v>3 </v>
      </c>
      <c r="P921">
        <v>157.35</v>
      </c>
      <c r="Q921" t="s">
        <v>25</v>
      </c>
    </row>
    <row r="922" spans="1:17" ht="12.75">
      <c r="A922" t="s">
        <v>17</v>
      </c>
      <c r="B922" t="s">
        <v>18</v>
      </c>
      <c r="C922" t="s">
        <v>530</v>
      </c>
      <c r="D922" t="str">
        <f>CONCATENATE("0040025914","")</f>
        <v>0040025914</v>
      </c>
      <c r="E922" t="str">
        <f>CONCATENATE("0500211000190       ","")</f>
        <v>0500211000190       </v>
      </c>
      <c r="F922" t="str">
        <f>CONCATENATE("983072100931","")</f>
        <v>983072100931</v>
      </c>
      <c r="G922" t="s">
        <v>1853</v>
      </c>
      <c r="H922" t="s">
        <v>1860</v>
      </c>
      <c r="I922" t="s">
        <v>1855</v>
      </c>
      <c r="J922" t="str">
        <f t="shared" si="113"/>
        <v>080507</v>
      </c>
      <c r="K922" t="s">
        <v>23</v>
      </c>
      <c r="L922" t="s">
        <v>24</v>
      </c>
      <c r="M922" t="str">
        <f t="shared" si="111"/>
        <v>1</v>
      </c>
      <c r="O922" t="str">
        <f>CONCATENATE("2 ","")</f>
        <v>2 </v>
      </c>
      <c r="P922">
        <v>23.4</v>
      </c>
      <c r="Q922" t="s">
        <v>25</v>
      </c>
    </row>
    <row r="923" spans="1:17" ht="12.75">
      <c r="A923" t="s">
        <v>17</v>
      </c>
      <c r="B923" t="s">
        <v>18</v>
      </c>
      <c r="C923" t="s">
        <v>530</v>
      </c>
      <c r="D923" t="str">
        <f>CONCATENATE("0040025921","")</f>
        <v>0040025921</v>
      </c>
      <c r="E923" t="str">
        <f>CONCATENATE("0500211000320       ","")</f>
        <v>0500211000320       </v>
      </c>
      <c r="F923" t="str">
        <f>CONCATENATE("983072101000","")</f>
        <v>983072101000</v>
      </c>
      <c r="G923" t="s">
        <v>1853</v>
      </c>
      <c r="H923" t="s">
        <v>1861</v>
      </c>
      <c r="I923" t="s">
        <v>1855</v>
      </c>
      <c r="J923" t="str">
        <f t="shared" si="113"/>
        <v>080507</v>
      </c>
      <c r="K923" t="s">
        <v>23</v>
      </c>
      <c r="L923" t="s">
        <v>24</v>
      </c>
      <c r="M923" t="str">
        <f t="shared" si="111"/>
        <v>1</v>
      </c>
      <c r="O923" t="str">
        <f>CONCATENATE("1 ","")</f>
        <v>1 </v>
      </c>
      <c r="P923">
        <v>18.3</v>
      </c>
      <c r="Q923" t="s">
        <v>25</v>
      </c>
    </row>
    <row r="924" spans="1:17" ht="12.75">
      <c r="A924" t="s">
        <v>17</v>
      </c>
      <c r="B924" t="s">
        <v>18</v>
      </c>
      <c r="C924" t="s">
        <v>530</v>
      </c>
      <c r="D924" t="str">
        <f>CONCATENATE("0040025896","")</f>
        <v>0040025896</v>
      </c>
      <c r="E924" t="str">
        <f>CONCATENATE("0500211000350       ","")</f>
        <v>0500211000350       </v>
      </c>
      <c r="F924" t="str">
        <f>CONCATENATE("983072100923","")</f>
        <v>983072100923</v>
      </c>
      <c r="G924" t="s">
        <v>1853</v>
      </c>
      <c r="H924" t="s">
        <v>1862</v>
      </c>
      <c r="I924" t="s">
        <v>1855</v>
      </c>
      <c r="J924" t="str">
        <f t="shared" si="113"/>
        <v>080507</v>
      </c>
      <c r="K924" t="s">
        <v>23</v>
      </c>
      <c r="L924" t="s">
        <v>24</v>
      </c>
      <c r="M924" t="str">
        <f t="shared" si="111"/>
        <v>1</v>
      </c>
      <c r="O924" t="str">
        <f>CONCATENATE("1 ","")</f>
        <v>1 </v>
      </c>
      <c r="P924">
        <v>25.6</v>
      </c>
      <c r="Q924" t="s">
        <v>25</v>
      </c>
    </row>
    <row r="925" spans="1:17" ht="12.75">
      <c r="A925" t="s">
        <v>17</v>
      </c>
      <c r="B925" t="s">
        <v>18</v>
      </c>
      <c r="C925" t="s">
        <v>530</v>
      </c>
      <c r="D925" t="str">
        <f>CONCATENATE("0040025772","")</f>
        <v>0040025772</v>
      </c>
      <c r="E925" t="str">
        <f>CONCATENATE("0500221000040       ","")</f>
        <v>0500221000040       </v>
      </c>
      <c r="F925" t="str">
        <f>CONCATENATE("983072100999","")</f>
        <v>983072100999</v>
      </c>
      <c r="G925" t="s">
        <v>1863</v>
      </c>
      <c r="H925" t="s">
        <v>1864</v>
      </c>
      <c r="I925" t="s">
        <v>1865</v>
      </c>
      <c r="J925" t="str">
        <f t="shared" si="113"/>
        <v>080507</v>
      </c>
      <c r="K925" t="s">
        <v>23</v>
      </c>
      <c r="L925" t="s">
        <v>24</v>
      </c>
      <c r="M925" t="str">
        <f t="shared" si="111"/>
        <v>1</v>
      </c>
      <c r="O925" t="str">
        <f>CONCATENATE("4 ","")</f>
        <v>4 </v>
      </c>
      <c r="P925">
        <v>36.75</v>
      </c>
      <c r="Q925" t="s">
        <v>25</v>
      </c>
    </row>
    <row r="926" spans="1:17" ht="12.75">
      <c r="A926" t="s">
        <v>17</v>
      </c>
      <c r="B926" t="s">
        <v>18</v>
      </c>
      <c r="C926" t="s">
        <v>530</v>
      </c>
      <c r="D926" t="str">
        <f>CONCATENATE("0040025719","")</f>
        <v>0040025719</v>
      </c>
      <c r="E926" t="str">
        <f>CONCATENATE("0500230000090       ","")</f>
        <v>0500230000090       </v>
      </c>
      <c r="F926" t="str">
        <f>CONCATENATE("983072100991","")</f>
        <v>983072100991</v>
      </c>
      <c r="G926" t="s">
        <v>1866</v>
      </c>
      <c r="H926" t="s">
        <v>1867</v>
      </c>
      <c r="I926" t="s">
        <v>1868</v>
      </c>
      <c r="J926" t="str">
        <f t="shared" si="113"/>
        <v>080507</v>
      </c>
      <c r="K926" t="s">
        <v>23</v>
      </c>
      <c r="L926" t="s">
        <v>24</v>
      </c>
      <c r="M926" t="str">
        <f t="shared" si="111"/>
        <v>1</v>
      </c>
      <c r="O926" t="str">
        <f>CONCATENATE("1 ","")</f>
        <v>1 </v>
      </c>
      <c r="P926">
        <v>20.7</v>
      </c>
      <c r="Q926" t="s">
        <v>25</v>
      </c>
    </row>
    <row r="927" spans="1:17" ht="12.75">
      <c r="A927" t="s">
        <v>17</v>
      </c>
      <c r="B927" t="s">
        <v>18</v>
      </c>
      <c r="C927" t="s">
        <v>530</v>
      </c>
      <c r="D927" t="str">
        <f>CONCATENATE("0040025697","")</f>
        <v>0040025697</v>
      </c>
      <c r="E927" t="str">
        <f>CONCATENATE("050023100090        ","")</f>
        <v>050023100090        </v>
      </c>
      <c r="F927" t="str">
        <f>CONCATENATE("983072100989","")</f>
        <v>983072100989</v>
      </c>
      <c r="G927" t="s">
        <v>1869</v>
      </c>
      <c r="H927" t="s">
        <v>1870</v>
      </c>
      <c r="I927" t="s">
        <v>1871</v>
      </c>
      <c r="J927" t="str">
        <f t="shared" si="113"/>
        <v>080507</v>
      </c>
      <c r="K927" t="s">
        <v>23</v>
      </c>
      <c r="L927" t="s">
        <v>24</v>
      </c>
      <c r="M927" t="str">
        <f aca="true" t="shared" si="115" ref="M927:M949">CONCATENATE("1","")</f>
        <v>1</v>
      </c>
      <c r="O927" t="str">
        <f>CONCATENATE("2 ","")</f>
        <v>2 </v>
      </c>
      <c r="P927">
        <v>19.5</v>
      </c>
      <c r="Q927" t="s">
        <v>25</v>
      </c>
    </row>
    <row r="928" spans="1:17" ht="12.75">
      <c r="A928" t="s">
        <v>17</v>
      </c>
      <c r="B928" t="s">
        <v>18</v>
      </c>
      <c r="C928" t="s">
        <v>530</v>
      </c>
      <c r="D928" t="str">
        <f>CONCATENATE("0040025692","")</f>
        <v>0040025692</v>
      </c>
      <c r="E928" t="str">
        <f>CONCATENATE("050023100120        ","")</f>
        <v>050023100120        </v>
      </c>
      <c r="F928" t="str">
        <f>CONCATENATE("983072100989","")</f>
        <v>983072100989</v>
      </c>
      <c r="G928" t="s">
        <v>1869</v>
      </c>
      <c r="H928" t="s">
        <v>1872</v>
      </c>
      <c r="I928" t="s">
        <v>1871</v>
      </c>
      <c r="J928" t="str">
        <f t="shared" si="113"/>
        <v>080507</v>
      </c>
      <c r="K928" t="s">
        <v>23</v>
      </c>
      <c r="L928" t="s">
        <v>24</v>
      </c>
      <c r="M928" t="str">
        <f t="shared" si="115"/>
        <v>1</v>
      </c>
      <c r="O928" t="str">
        <f>CONCATENATE("1 ","")</f>
        <v>1 </v>
      </c>
      <c r="P928">
        <v>17.65</v>
      </c>
      <c r="Q928" t="s">
        <v>25</v>
      </c>
    </row>
    <row r="929" spans="1:17" ht="12.75">
      <c r="A929" t="s">
        <v>17</v>
      </c>
      <c r="B929" t="s">
        <v>18</v>
      </c>
      <c r="C929" t="s">
        <v>530</v>
      </c>
      <c r="D929" t="str">
        <f>CONCATENATE("0040025961","")</f>
        <v>0040025961</v>
      </c>
      <c r="E929" t="str">
        <f>CONCATENATE("0500240000010       ","")</f>
        <v>0500240000010       </v>
      </c>
      <c r="F929" t="str">
        <f>CONCATENATE("983072100925","")</f>
        <v>983072100925</v>
      </c>
      <c r="G929" t="s">
        <v>1873</v>
      </c>
      <c r="H929" t="s">
        <v>1874</v>
      </c>
      <c r="I929" t="s">
        <v>1875</v>
      </c>
      <c r="J929" t="str">
        <f t="shared" si="113"/>
        <v>080507</v>
      </c>
      <c r="K929" t="s">
        <v>23</v>
      </c>
      <c r="L929" t="s">
        <v>24</v>
      </c>
      <c r="M929" t="str">
        <f t="shared" si="115"/>
        <v>1</v>
      </c>
      <c r="O929" t="str">
        <f>CONCATENATE("2 ","")</f>
        <v>2 </v>
      </c>
      <c r="P929">
        <v>59.45</v>
      </c>
      <c r="Q929" t="s">
        <v>25</v>
      </c>
    </row>
    <row r="930" spans="1:17" ht="12.75">
      <c r="A930" t="s">
        <v>17</v>
      </c>
      <c r="B930" t="s">
        <v>18</v>
      </c>
      <c r="C930" t="s">
        <v>530</v>
      </c>
      <c r="D930" t="str">
        <f>CONCATENATE("0040025946","")</f>
        <v>0040025946</v>
      </c>
      <c r="E930" t="str">
        <f>CONCATENATE("0500240000070       ","")</f>
        <v>0500240000070       </v>
      </c>
      <c r="F930" t="str">
        <f>CONCATENATE("983072101000","")</f>
        <v>983072101000</v>
      </c>
      <c r="G930" t="s">
        <v>1873</v>
      </c>
      <c r="H930" t="s">
        <v>1876</v>
      </c>
      <c r="I930" t="s">
        <v>1875</v>
      </c>
      <c r="J930" t="str">
        <f t="shared" si="113"/>
        <v>080507</v>
      </c>
      <c r="K930" t="s">
        <v>23</v>
      </c>
      <c r="L930" t="s">
        <v>24</v>
      </c>
      <c r="M930" t="str">
        <f t="shared" si="115"/>
        <v>1</v>
      </c>
      <c r="O930" t="str">
        <f aca="true" t="shared" si="116" ref="O930:O935">CONCATENATE("1 ","")</f>
        <v>1 </v>
      </c>
      <c r="P930">
        <v>12.95</v>
      </c>
      <c r="Q930" t="s">
        <v>25</v>
      </c>
    </row>
    <row r="931" spans="1:17" ht="12.75">
      <c r="A931" t="s">
        <v>17</v>
      </c>
      <c r="B931" t="s">
        <v>18</v>
      </c>
      <c r="C931" t="s">
        <v>530</v>
      </c>
      <c r="D931" t="str">
        <f>CONCATENATE("0040025955","")</f>
        <v>0040025955</v>
      </c>
      <c r="E931" t="str">
        <f>CONCATENATE("0500240000230       ","")</f>
        <v>0500240000230       </v>
      </c>
      <c r="F931" t="str">
        <f>CONCATENATE("983072100931","")</f>
        <v>983072100931</v>
      </c>
      <c r="G931" t="s">
        <v>1873</v>
      </c>
      <c r="H931" t="s">
        <v>1877</v>
      </c>
      <c r="I931" t="s">
        <v>1875</v>
      </c>
      <c r="J931" t="str">
        <f t="shared" si="113"/>
        <v>080507</v>
      </c>
      <c r="K931" t="s">
        <v>23</v>
      </c>
      <c r="L931" t="s">
        <v>24</v>
      </c>
      <c r="M931" t="str">
        <f t="shared" si="115"/>
        <v>1</v>
      </c>
      <c r="O931" t="str">
        <f t="shared" si="116"/>
        <v>1 </v>
      </c>
      <c r="P931">
        <v>14.15</v>
      </c>
      <c r="Q931" t="s">
        <v>25</v>
      </c>
    </row>
    <row r="932" spans="1:17" ht="12.75">
      <c r="A932" t="s">
        <v>17</v>
      </c>
      <c r="B932" t="s">
        <v>18</v>
      </c>
      <c r="C932" t="s">
        <v>530</v>
      </c>
      <c r="D932" t="str">
        <f>CONCATENATE("0040025962","")</f>
        <v>0040025962</v>
      </c>
      <c r="E932" t="str">
        <f>CONCATENATE("0500240000330       ","")</f>
        <v>0500240000330       </v>
      </c>
      <c r="F932" t="str">
        <f>CONCATENATE("983072100925","")</f>
        <v>983072100925</v>
      </c>
      <c r="G932" t="s">
        <v>1873</v>
      </c>
      <c r="H932" t="s">
        <v>1878</v>
      </c>
      <c r="I932" t="s">
        <v>1875</v>
      </c>
      <c r="J932" t="str">
        <f t="shared" si="113"/>
        <v>080507</v>
      </c>
      <c r="K932" t="s">
        <v>23</v>
      </c>
      <c r="L932" t="s">
        <v>24</v>
      </c>
      <c r="M932" t="str">
        <f t="shared" si="115"/>
        <v>1</v>
      </c>
      <c r="O932" t="str">
        <f t="shared" si="116"/>
        <v>1 </v>
      </c>
      <c r="P932">
        <v>22.35</v>
      </c>
      <c r="Q932" t="s">
        <v>25</v>
      </c>
    </row>
    <row r="933" spans="1:17" ht="12.75">
      <c r="A933" t="s">
        <v>17</v>
      </c>
      <c r="B933" t="s">
        <v>18</v>
      </c>
      <c r="C933" t="s">
        <v>530</v>
      </c>
      <c r="D933" t="str">
        <f>CONCATENATE("0040025966","")</f>
        <v>0040025966</v>
      </c>
      <c r="E933" t="str">
        <f>CONCATENATE("0500240000360       ","")</f>
        <v>0500240000360       </v>
      </c>
      <c r="F933" t="str">
        <f>CONCATENATE("983072101003","")</f>
        <v>983072101003</v>
      </c>
      <c r="G933" t="s">
        <v>1873</v>
      </c>
      <c r="H933" t="s">
        <v>1879</v>
      </c>
      <c r="I933" t="s">
        <v>1875</v>
      </c>
      <c r="J933" t="str">
        <f t="shared" si="113"/>
        <v>080507</v>
      </c>
      <c r="K933" t="s">
        <v>23</v>
      </c>
      <c r="L933" t="s">
        <v>24</v>
      </c>
      <c r="M933" t="str">
        <f t="shared" si="115"/>
        <v>1</v>
      </c>
      <c r="O933" t="str">
        <f t="shared" si="116"/>
        <v>1 </v>
      </c>
      <c r="P933">
        <v>24.9</v>
      </c>
      <c r="Q933" t="s">
        <v>25</v>
      </c>
    </row>
    <row r="934" spans="1:17" ht="12.75">
      <c r="A934" t="s">
        <v>17</v>
      </c>
      <c r="B934" t="s">
        <v>18</v>
      </c>
      <c r="C934" t="s">
        <v>530</v>
      </c>
      <c r="D934" t="str">
        <f>CONCATENATE("0040025871","")</f>
        <v>0040025871</v>
      </c>
      <c r="E934" t="str">
        <f>CONCATENATE("0500242000020       ","")</f>
        <v>0500242000020       </v>
      </c>
      <c r="F934" t="str">
        <f>CONCATENATE("983072100932","")</f>
        <v>983072100932</v>
      </c>
      <c r="G934" t="s">
        <v>1880</v>
      </c>
      <c r="H934" t="s">
        <v>1881</v>
      </c>
      <c r="I934" t="s">
        <v>1882</v>
      </c>
      <c r="J934" t="str">
        <f t="shared" si="113"/>
        <v>080507</v>
      </c>
      <c r="K934" t="s">
        <v>23</v>
      </c>
      <c r="L934" t="s">
        <v>24</v>
      </c>
      <c r="M934" t="str">
        <f t="shared" si="115"/>
        <v>1</v>
      </c>
      <c r="O934" t="str">
        <f t="shared" si="116"/>
        <v>1 </v>
      </c>
      <c r="P934">
        <v>14.4</v>
      </c>
      <c r="Q934" t="s">
        <v>25</v>
      </c>
    </row>
    <row r="935" spans="1:17" ht="12.75">
      <c r="A935" t="s">
        <v>17</v>
      </c>
      <c r="B935" t="s">
        <v>18</v>
      </c>
      <c r="C935" t="s">
        <v>530</v>
      </c>
      <c r="D935" t="str">
        <f>CONCATENATE("0040025869","")</f>
        <v>0040025869</v>
      </c>
      <c r="E935" t="str">
        <f>CONCATENATE("0500242000040       ","")</f>
        <v>0500242000040       </v>
      </c>
      <c r="F935" t="str">
        <f>CONCATENATE("983072100932","")</f>
        <v>983072100932</v>
      </c>
      <c r="G935" t="s">
        <v>1880</v>
      </c>
      <c r="H935" t="s">
        <v>1883</v>
      </c>
      <c r="I935" t="s">
        <v>1882</v>
      </c>
      <c r="J935" t="str">
        <f t="shared" si="113"/>
        <v>080507</v>
      </c>
      <c r="K935" t="s">
        <v>23</v>
      </c>
      <c r="L935" t="s">
        <v>24</v>
      </c>
      <c r="M935" t="str">
        <f t="shared" si="115"/>
        <v>1</v>
      </c>
      <c r="O935" t="str">
        <f t="shared" si="116"/>
        <v>1 </v>
      </c>
      <c r="P935">
        <v>15.45</v>
      </c>
      <c r="Q935" t="s">
        <v>25</v>
      </c>
    </row>
    <row r="936" spans="1:17" ht="12.75">
      <c r="A936" t="s">
        <v>17</v>
      </c>
      <c r="B936" t="s">
        <v>18</v>
      </c>
      <c r="C936" t="s">
        <v>530</v>
      </c>
      <c r="D936" t="str">
        <f>CONCATENATE("0040025876","")</f>
        <v>0040025876</v>
      </c>
      <c r="E936" t="str">
        <f>CONCATENATE("0500242000060       ","")</f>
        <v>0500242000060       </v>
      </c>
      <c r="F936" t="str">
        <f>CONCATENATE("983072100932","")</f>
        <v>983072100932</v>
      </c>
      <c r="G936" t="s">
        <v>1880</v>
      </c>
      <c r="H936" t="s">
        <v>1884</v>
      </c>
      <c r="I936" t="s">
        <v>1882</v>
      </c>
      <c r="J936" t="str">
        <f t="shared" si="113"/>
        <v>080507</v>
      </c>
      <c r="K936" t="s">
        <v>23</v>
      </c>
      <c r="L936" t="s">
        <v>24</v>
      </c>
      <c r="M936" t="str">
        <f t="shared" si="115"/>
        <v>1</v>
      </c>
      <c r="O936" t="str">
        <f>CONCATENATE("2 ","")</f>
        <v>2 </v>
      </c>
      <c r="P936">
        <v>19.65</v>
      </c>
      <c r="Q936" t="s">
        <v>25</v>
      </c>
    </row>
    <row r="937" spans="1:17" ht="12.75">
      <c r="A937" t="s">
        <v>17</v>
      </c>
      <c r="B937" t="s">
        <v>18</v>
      </c>
      <c r="C937" t="s">
        <v>530</v>
      </c>
      <c r="D937" t="str">
        <f>CONCATENATE("0040025875","")</f>
        <v>0040025875</v>
      </c>
      <c r="E937" t="str">
        <f>CONCATENATE("0500242000070       ","")</f>
        <v>0500242000070       </v>
      </c>
      <c r="F937" t="str">
        <f>CONCATENATE("983072100932","")</f>
        <v>983072100932</v>
      </c>
      <c r="G937" t="s">
        <v>1880</v>
      </c>
      <c r="H937" t="s">
        <v>1885</v>
      </c>
      <c r="I937" t="s">
        <v>1882</v>
      </c>
      <c r="J937" t="str">
        <f t="shared" si="113"/>
        <v>080507</v>
      </c>
      <c r="K937" t="s">
        <v>23</v>
      </c>
      <c r="L937" t="s">
        <v>24</v>
      </c>
      <c r="M937" t="str">
        <f t="shared" si="115"/>
        <v>1</v>
      </c>
      <c r="O937" t="str">
        <f>CONCATENATE("1 ","")</f>
        <v>1 </v>
      </c>
      <c r="P937">
        <v>110.7</v>
      </c>
      <c r="Q937" t="s">
        <v>25</v>
      </c>
    </row>
    <row r="938" spans="1:17" ht="12.75">
      <c r="A938" t="s">
        <v>17</v>
      </c>
      <c r="B938" t="s">
        <v>18</v>
      </c>
      <c r="C938" t="s">
        <v>530</v>
      </c>
      <c r="D938" t="str">
        <f>CONCATENATE("0040025873","")</f>
        <v>0040025873</v>
      </c>
      <c r="E938" t="str">
        <f>CONCATENATE("0500242000080       ","")</f>
        <v>0500242000080       </v>
      </c>
      <c r="F938" t="str">
        <f>CONCATENATE("983072100974","")</f>
        <v>983072100974</v>
      </c>
      <c r="G938" t="s">
        <v>1880</v>
      </c>
      <c r="H938" t="s">
        <v>1886</v>
      </c>
      <c r="I938" t="s">
        <v>1882</v>
      </c>
      <c r="J938" t="str">
        <f t="shared" si="113"/>
        <v>080507</v>
      </c>
      <c r="K938" t="s">
        <v>23</v>
      </c>
      <c r="L938" t="s">
        <v>24</v>
      </c>
      <c r="M938" t="str">
        <f t="shared" si="115"/>
        <v>1</v>
      </c>
      <c r="O938" t="str">
        <f>CONCATENATE("3 ","")</f>
        <v>3 </v>
      </c>
      <c r="P938">
        <v>29.3</v>
      </c>
      <c r="Q938" t="s">
        <v>25</v>
      </c>
    </row>
    <row r="939" spans="1:17" ht="12.75">
      <c r="A939" t="s">
        <v>17</v>
      </c>
      <c r="B939" t="s">
        <v>18</v>
      </c>
      <c r="C939" t="s">
        <v>530</v>
      </c>
      <c r="D939" t="str">
        <f>CONCATENATE("0040025750","")</f>
        <v>0040025750</v>
      </c>
      <c r="E939" t="str">
        <f>CONCATENATE("0500243000010       ","")</f>
        <v>0500243000010       </v>
      </c>
      <c r="F939" t="str">
        <f>CONCATENATE("983072100929","")</f>
        <v>983072100929</v>
      </c>
      <c r="G939" t="s">
        <v>1887</v>
      </c>
      <c r="H939" t="s">
        <v>1888</v>
      </c>
      <c r="I939" t="s">
        <v>1889</v>
      </c>
      <c r="J939" t="str">
        <f t="shared" si="113"/>
        <v>080507</v>
      </c>
      <c r="K939" t="s">
        <v>23</v>
      </c>
      <c r="L939" t="s">
        <v>24</v>
      </c>
      <c r="M939" t="str">
        <f t="shared" si="115"/>
        <v>1</v>
      </c>
      <c r="O939" t="str">
        <f>CONCATENATE("3 ","")</f>
        <v>3 </v>
      </c>
      <c r="P939">
        <v>42.95</v>
      </c>
      <c r="Q939" t="s">
        <v>25</v>
      </c>
    </row>
    <row r="940" spans="1:17" ht="12.75">
      <c r="A940" t="s">
        <v>17</v>
      </c>
      <c r="B940" t="s">
        <v>18</v>
      </c>
      <c r="C940" t="s">
        <v>530</v>
      </c>
      <c r="D940" t="str">
        <f>CONCATENATE("0040025755","")</f>
        <v>0040025755</v>
      </c>
      <c r="E940" t="str">
        <f>CONCATENATE("0500243000090       ","")</f>
        <v>0500243000090       </v>
      </c>
      <c r="F940" t="str">
        <f>CONCATENATE("983072100929","")</f>
        <v>983072100929</v>
      </c>
      <c r="G940" t="s">
        <v>1887</v>
      </c>
      <c r="H940" t="s">
        <v>1890</v>
      </c>
      <c r="I940" t="s">
        <v>1889</v>
      </c>
      <c r="J940" t="str">
        <f t="shared" si="113"/>
        <v>080507</v>
      </c>
      <c r="K940" t="s">
        <v>23</v>
      </c>
      <c r="L940" t="s">
        <v>24</v>
      </c>
      <c r="M940" t="str">
        <f t="shared" si="115"/>
        <v>1</v>
      </c>
      <c r="O940" t="str">
        <f>CONCATENATE("3 ","")</f>
        <v>3 </v>
      </c>
      <c r="P940">
        <v>26.45</v>
      </c>
      <c r="Q940" t="s">
        <v>25</v>
      </c>
    </row>
    <row r="941" spans="1:17" ht="12.75">
      <c r="A941" t="s">
        <v>17</v>
      </c>
      <c r="B941" t="s">
        <v>18</v>
      </c>
      <c r="C941" t="s">
        <v>530</v>
      </c>
      <c r="D941" t="str">
        <f>CONCATENATE("0040028097","")</f>
        <v>0040028097</v>
      </c>
      <c r="E941" t="str">
        <f>CONCATENATE("0500243000100       ","")</f>
        <v>0500243000100       </v>
      </c>
      <c r="F941" t="str">
        <f>CONCATENATE("2128343","")</f>
        <v>2128343</v>
      </c>
      <c r="G941" t="s">
        <v>1891</v>
      </c>
      <c r="H941" t="s">
        <v>1892</v>
      </c>
      <c r="I941" t="s">
        <v>1893</v>
      </c>
      <c r="J941" t="str">
        <f t="shared" si="113"/>
        <v>080507</v>
      </c>
      <c r="K941" t="s">
        <v>23</v>
      </c>
      <c r="L941" t="s">
        <v>24</v>
      </c>
      <c r="M941" t="str">
        <f t="shared" si="115"/>
        <v>1</v>
      </c>
      <c r="O941" t="str">
        <f>CONCATENATE("1 ","")</f>
        <v>1 </v>
      </c>
      <c r="P941">
        <v>49.2</v>
      </c>
      <c r="Q941" t="s">
        <v>25</v>
      </c>
    </row>
    <row r="942" spans="1:17" ht="12.75">
      <c r="A942" t="s">
        <v>17</v>
      </c>
      <c r="B942" t="s">
        <v>18</v>
      </c>
      <c r="C942" t="s">
        <v>530</v>
      </c>
      <c r="D942" t="str">
        <f>CONCATENATE("0040038500","")</f>
        <v>0040038500</v>
      </c>
      <c r="E942" t="str">
        <f>CONCATENATE("0500243000110       ","")</f>
        <v>0500243000110       </v>
      </c>
      <c r="F942" t="str">
        <f>CONCATENATE("606599707","")</f>
        <v>606599707</v>
      </c>
      <c r="G942" t="s">
        <v>531</v>
      </c>
      <c r="H942" t="s">
        <v>1894</v>
      </c>
      <c r="I942" t="s">
        <v>1895</v>
      </c>
      <c r="J942" t="str">
        <f t="shared" si="113"/>
        <v>080507</v>
      </c>
      <c r="K942" t="s">
        <v>23</v>
      </c>
      <c r="L942" t="s">
        <v>24</v>
      </c>
      <c r="M942" t="str">
        <f t="shared" si="115"/>
        <v>1</v>
      </c>
      <c r="O942" t="str">
        <f>CONCATENATE("7 ","")</f>
        <v>7 </v>
      </c>
      <c r="P942">
        <v>51.15</v>
      </c>
      <c r="Q942" t="s">
        <v>25</v>
      </c>
    </row>
    <row r="943" spans="1:17" ht="12.75">
      <c r="A943" t="s">
        <v>17</v>
      </c>
      <c r="B943" t="s">
        <v>18</v>
      </c>
      <c r="C943" t="s">
        <v>530</v>
      </c>
      <c r="D943" t="str">
        <f>CONCATENATE("0040025764","")</f>
        <v>0040025764</v>
      </c>
      <c r="E943" t="str">
        <f>CONCATENATE("0500250000050       ","")</f>
        <v>0500250000050       </v>
      </c>
      <c r="F943" t="str">
        <f>CONCATENATE("983072100925","")</f>
        <v>983072100925</v>
      </c>
      <c r="G943" t="s">
        <v>1896</v>
      </c>
      <c r="H943" t="s">
        <v>1897</v>
      </c>
      <c r="I943" t="s">
        <v>1898</v>
      </c>
      <c r="J943" t="str">
        <f t="shared" si="113"/>
        <v>080507</v>
      </c>
      <c r="K943" t="s">
        <v>23</v>
      </c>
      <c r="L943" t="s">
        <v>24</v>
      </c>
      <c r="M943" t="str">
        <f t="shared" si="115"/>
        <v>1</v>
      </c>
      <c r="O943" t="str">
        <f>CONCATENATE("2 ","")</f>
        <v>2 </v>
      </c>
      <c r="P943">
        <v>22.4</v>
      </c>
      <c r="Q943" t="s">
        <v>25</v>
      </c>
    </row>
    <row r="944" spans="1:17" ht="12.75">
      <c r="A944" t="s">
        <v>17</v>
      </c>
      <c r="B944" t="s">
        <v>18</v>
      </c>
      <c r="C944" t="s">
        <v>530</v>
      </c>
      <c r="D944" t="str">
        <f>CONCATENATE("0040025763","")</f>
        <v>0040025763</v>
      </c>
      <c r="E944" t="str">
        <f>CONCATENATE("0500250000070       ","")</f>
        <v>0500250000070       </v>
      </c>
      <c r="F944" t="str">
        <f>CONCATENATE("983072100925","")</f>
        <v>983072100925</v>
      </c>
      <c r="G944" t="s">
        <v>1896</v>
      </c>
      <c r="H944" t="s">
        <v>1899</v>
      </c>
      <c r="I944" t="s">
        <v>1898</v>
      </c>
      <c r="J944" t="str">
        <f t="shared" si="113"/>
        <v>080507</v>
      </c>
      <c r="K944" t="s">
        <v>23</v>
      </c>
      <c r="L944" t="s">
        <v>24</v>
      </c>
      <c r="M944" t="str">
        <f t="shared" si="115"/>
        <v>1</v>
      </c>
      <c r="O944" t="str">
        <f>CONCATENATE("1 ","")</f>
        <v>1 </v>
      </c>
      <c r="P944">
        <v>16.2</v>
      </c>
      <c r="Q944" t="s">
        <v>25</v>
      </c>
    </row>
    <row r="945" spans="1:17" ht="12.75">
      <c r="A945" t="s">
        <v>17</v>
      </c>
      <c r="B945" t="s">
        <v>18</v>
      </c>
      <c r="C945" t="s">
        <v>593</v>
      </c>
      <c r="D945" t="str">
        <f>CONCATENATE("0040025844","")</f>
        <v>0040025844</v>
      </c>
      <c r="E945" t="str">
        <f>CONCATENATE("0500251000060       ","")</f>
        <v>0500251000060       </v>
      </c>
      <c r="F945" t="str">
        <f>CONCATENATE("983072100928","")</f>
        <v>983072100928</v>
      </c>
      <c r="G945" t="s">
        <v>1900</v>
      </c>
      <c r="H945" t="s">
        <v>1901</v>
      </c>
      <c r="I945" t="s">
        <v>1902</v>
      </c>
      <c r="J945" t="str">
        <f>CONCATENATE("080502","")</f>
        <v>080502</v>
      </c>
      <c r="K945" t="s">
        <v>23</v>
      </c>
      <c r="L945" t="s">
        <v>24</v>
      </c>
      <c r="M945" t="str">
        <f t="shared" si="115"/>
        <v>1</v>
      </c>
      <c r="O945" t="str">
        <f>CONCATENATE("1 ","")</f>
        <v>1 </v>
      </c>
      <c r="P945">
        <v>13</v>
      </c>
      <c r="Q945" t="s">
        <v>25</v>
      </c>
    </row>
    <row r="946" spans="1:17" ht="12.75">
      <c r="A946" t="s">
        <v>17</v>
      </c>
      <c r="B946" t="s">
        <v>18</v>
      </c>
      <c r="C946" t="s">
        <v>593</v>
      </c>
      <c r="D946" t="str">
        <f>CONCATENATE("0040025838","")</f>
        <v>0040025838</v>
      </c>
      <c r="E946" t="str">
        <f>CONCATENATE("0500251000070       ","")</f>
        <v>0500251000070       </v>
      </c>
      <c r="F946" t="str">
        <f>CONCATENATE("983072100928","")</f>
        <v>983072100928</v>
      </c>
      <c r="G946" t="s">
        <v>1900</v>
      </c>
      <c r="H946" t="s">
        <v>1903</v>
      </c>
      <c r="I946" t="s">
        <v>1902</v>
      </c>
      <c r="J946" t="str">
        <f>CONCATENATE("080502","")</f>
        <v>080502</v>
      </c>
      <c r="K946" t="s">
        <v>23</v>
      </c>
      <c r="L946" t="s">
        <v>24</v>
      </c>
      <c r="M946" t="str">
        <f t="shared" si="115"/>
        <v>1</v>
      </c>
      <c r="O946" t="str">
        <f>CONCATENATE("2 ","")</f>
        <v>2 </v>
      </c>
      <c r="P946">
        <v>36.15</v>
      </c>
      <c r="Q946" t="s">
        <v>25</v>
      </c>
    </row>
    <row r="947" spans="1:17" ht="12.75">
      <c r="A947" t="s">
        <v>17</v>
      </c>
      <c r="B947" t="s">
        <v>18</v>
      </c>
      <c r="C947" t="s">
        <v>593</v>
      </c>
      <c r="D947" t="str">
        <f>CONCATENATE("0040025836","")</f>
        <v>0040025836</v>
      </c>
      <c r="E947" t="str">
        <f>CONCATENATE("0500251000120       ","")</f>
        <v>0500251000120       </v>
      </c>
      <c r="F947" t="str">
        <f>CONCATENATE("2189062","")</f>
        <v>2189062</v>
      </c>
      <c r="G947" t="s">
        <v>1900</v>
      </c>
      <c r="H947" t="s">
        <v>1904</v>
      </c>
      <c r="I947" t="s">
        <v>1902</v>
      </c>
      <c r="J947" t="str">
        <f>CONCATENATE("080502","")</f>
        <v>080502</v>
      </c>
      <c r="K947" t="s">
        <v>23</v>
      </c>
      <c r="L947" t="s">
        <v>24</v>
      </c>
      <c r="M947" t="str">
        <f t="shared" si="115"/>
        <v>1</v>
      </c>
      <c r="O947" t="str">
        <f>CONCATENATE("1 ","")</f>
        <v>1 </v>
      </c>
      <c r="P947">
        <v>13.05</v>
      </c>
      <c r="Q947" t="s">
        <v>25</v>
      </c>
    </row>
    <row r="948" spans="1:17" ht="12.75">
      <c r="A948" t="s">
        <v>17</v>
      </c>
      <c r="B948" t="s">
        <v>18</v>
      </c>
      <c r="C948" t="s">
        <v>593</v>
      </c>
      <c r="D948" t="str">
        <f>CONCATENATE("0040025837","")</f>
        <v>0040025837</v>
      </c>
      <c r="E948" t="str">
        <f>CONCATENATE("0500251000130       ","")</f>
        <v>0500251000130       </v>
      </c>
      <c r="F948" t="str">
        <f>CONCATENATE("983072100973","")</f>
        <v>983072100973</v>
      </c>
      <c r="G948" t="s">
        <v>1900</v>
      </c>
      <c r="H948" t="s">
        <v>1905</v>
      </c>
      <c r="I948" t="s">
        <v>1902</v>
      </c>
      <c r="J948" t="str">
        <f>CONCATENATE("080502","")</f>
        <v>080502</v>
      </c>
      <c r="K948" t="s">
        <v>23</v>
      </c>
      <c r="L948" t="s">
        <v>24</v>
      </c>
      <c r="M948" t="str">
        <f t="shared" si="115"/>
        <v>1</v>
      </c>
      <c r="O948" t="str">
        <f>CONCATENATE("1 ","")</f>
        <v>1 </v>
      </c>
      <c r="P948">
        <v>14.4</v>
      </c>
      <c r="Q948" t="s">
        <v>25</v>
      </c>
    </row>
    <row r="949" spans="1:17" ht="12.75">
      <c r="A949" t="s">
        <v>17</v>
      </c>
      <c r="B949" t="s">
        <v>18</v>
      </c>
      <c r="C949" t="s">
        <v>593</v>
      </c>
      <c r="D949" t="str">
        <f>CONCATENATE("0040025757","")</f>
        <v>0040025757</v>
      </c>
      <c r="E949" t="str">
        <f>CONCATENATE("0500252000010       ","")</f>
        <v>0500252000010       </v>
      </c>
      <c r="F949" t="str">
        <f>CONCATENATE("983072100929","")</f>
        <v>983072100929</v>
      </c>
      <c r="G949" t="s">
        <v>1906</v>
      </c>
      <c r="H949" t="s">
        <v>1907</v>
      </c>
      <c r="I949" t="s">
        <v>1908</v>
      </c>
      <c r="J949" t="str">
        <f>CONCATENATE("080502","")</f>
        <v>080502</v>
      </c>
      <c r="K949" t="s">
        <v>23</v>
      </c>
      <c r="L949" t="s">
        <v>24</v>
      </c>
      <c r="M949" t="str">
        <f t="shared" si="115"/>
        <v>1</v>
      </c>
      <c r="O949" t="str">
        <f>CONCATENATE("1 ","")</f>
        <v>1 </v>
      </c>
      <c r="P949">
        <v>18.7</v>
      </c>
      <c r="Q949" t="s">
        <v>25</v>
      </c>
    </row>
  </sheetData>
  <sheetProtection/>
  <autoFilter ref="A1:Q949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Jose Antonio</cp:lastModifiedBy>
  <dcterms:created xsi:type="dcterms:W3CDTF">2015-05-19T14:35:19Z</dcterms:created>
  <dcterms:modified xsi:type="dcterms:W3CDTF">2015-05-19T14:39:41Z</dcterms:modified>
  <cp:category/>
  <cp:version/>
  <cp:contentType/>
  <cp:contentStatus/>
</cp:coreProperties>
</file>